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ông T5" sheetId="1" r:id="rId4"/>
    <sheet state="visible" name="Vân tay" sheetId="2" r:id="rId5"/>
    <sheet state="visible" name="Phát sinh" sheetId="3" r:id="rId6"/>
    <sheet state="visible" name="Theo dõi phép" sheetId="4" r:id="rId7"/>
    <sheet state="visible" name="Phát sinh T6" sheetId="5" r:id="rId8"/>
  </sheets>
  <definedNames>
    <definedName hidden="1" localSheetId="2" name="_xlnm._FilterDatabase">'Phát sinh'!$A$5:$Y$330</definedName>
    <definedName hidden="1" localSheetId="4" name="_xlnm._FilterDatabase">'Phát sinh T6'!$A$5:$X$270</definedName>
  </definedNames>
  <calcPr/>
</workbook>
</file>

<file path=xl/sharedStrings.xml><?xml version="1.0" encoding="utf-8"?>
<sst xmlns="http://schemas.openxmlformats.org/spreadsheetml/2006/main" count="2631" uniqueCount="308">
  <si>
    <t>BẢNG CHẤM CÔNG THÁNG 5 NĂM 2022</t>
  </si>
  <si>
    <t>Lễ</t>
  </si>
  <si>
    <t>Nghỉ bù lễ</t>
  </si>
  <si>
    <t>Ngày thường</t>
  </si>
  <si>
    <t>CBNV</t>
  </si>
  <si>
    <t>Công chuẩn</t>
  </si>
  <si>
    <t>CÔNG 100%</t>
  </si>
  <si>
    <t>Online</t>
  </si>
  <si>
    <t>Công lễ</t>
  </si>
  <si>
    <t>Nghỉ không lương</t>
  </si>
  <si>
    <t>TRỪ CÔNG</t>
  </si>
  <si>
    <t>LÀM THÊM</t>
  </si>
  <si>
    <t>&lt;05h, &gt;21h ngày thường</t>
  </si>
  <si>
    <t>&lt;05h, &gt;21h cuối tuần</t>
  </si>
  <si>
    <t>Trực đào tạo đến 21h</t>
  </si>
  <si>
    <t>Tự đi lại sau 22h30</t>
  </si>
  <si>
    <t>Lái xe công tác qua đêm</t>
  </si>
  <si>
    <t>Ghi chú</t>
  </si>
  <si>
    <t>Đi muộn</t>
  </si>
  <si>
    <t>Quên chấm</t>
  </si>
  <si>
    <t>&lt;05h,&gt;21h</t>
  </si>
  <si>
    <t>CƠM TRƯA</t>
  </si>
  <si>
    <t>STT</t>
  </si>
  <si>
    <t>MS</t>
  </si>
  <si>
    <t>Họ và tên</t>
  </si>
  <si>
    <t>Vào riêng</t>
  </si>
  <si>
    <t>Ra riêng</t>
  </si>
  <si>
    <t>Phòng ban</t>
  </si>
  <si>
    <t/>
  </si>
  <si>
    <t>Tổng</t>
  </si>
  <si>
    <t>Đi làm</t>
  </si>
  <si>
    <t>Phép</t>
  </si>
  <si>
    <t>Việc riêng có lương</t>
  </si>
  <si>
    <t>Công tác</t>
  </si>
  <si>
    <t>Trừ đi muộn</t>
  </si>
  <si>
    <t>Công 200%</t>
  </si>
  <si>
    <t>Công 300%</t>
  </si>
  <si>
    <t>30K</t>
  </si>
  <si>
    <t>50K</t>
  </si>
  <si>
    <t>10001</t>
  </si>
  <si>
    <t>Nguyễn Văn Hiển</t>
  </si>
  <si>
    <t>BLĐ</t>
  </si>
  <si>
    <t>CT</t>
  </si>
  <si>
    <t>L</t>
  </si>
  <si>
    <t>Nguyễn Tiến Thành</t>
  </si>
  <si>
    <t>C/2</t>
  </si>
  <si>
    <t>Nguyễn Văn Công</t>
  </si>
  <si>
    <t>Đinh Nho Hồng</t>
  </si>
  <si>
    <t>K</t>
  </si>
  <si>
    <t>Nguyễn Thị Mai</t>
  </si>
  <si>
    <t>ĐT</t>
  </si>
  <si>
    <t>Đỗ Thị Thu Trang</t>
  </si>
  <si>
    <t>Nguyễn Thị Bình</t>
  </si>
  <si>
    <t>Nguyễn Thị Mai Anh</t>
  </si>
  <si>
    <t>Nguyễn Văn Tài</t>
  </si>
  <si>
    <t>Phạm Thị Thanh</t>
  </si>
  <si>
    <t>Nguyễn Văn Quyết</t>
  </si>
  <si>
    <t>QS</t>
  </si>
  <si>
    <t>Trần Thị Hiền</t>
  </si>
  <si>
    <t>Nguyễn Hồng Công</t>
  </si>
  <si>
    <t>O/2</t>
  </si>
  <si>
    <t>Nguyễn Thị Thúy</t>
  </si>
  <si>
    <t>Bùi Thị Hoa</t>
  </si>
  <si>
    <t>Nguyễn Văn Thích</t>
  </si>
  <si>
    <t>HCTH</t>
  </si>
  <si>
    <t>Lê Văn Bình</t>
  </si>
  <si>
    <t>Vũ Thị Phượng</t>
  </si>
  <si>
    <t>Nguyễn Đình Long</t>
  </si>
  <si>
    <t>Phạm Thị Bích</t>
  </si>
  <si>
    <t>Lê Văn Chuyển</t>
  </si>
  <si>
    <t>Lê Thị Hảo</t>
  </si>
  <si>
    <t>KT</t>
  </si>
  <si>
    <t>Nguyễn Thị Thảo</t>
  </si>
  <si>
    <t>Nguyễn Thị Lành</t>
  </si>
  <si>
    <t>Nguyễn Thị Thúy Ngân</t>
  </si>
  <si>
    <t>NV</t>
  </si>
  <si>
    <t>OL</t>
  </si>
  <si>
    <t>Trịnh Thị Huyền Trang</t>
  </si>
  <si>
    <t>Hoàng Văn Cường</t>
  </si>
  <si>
    <t>Nguyễn Thị Hà</t>
  </si>
  <si>
    <t>Nguyễn Thị Hồng Hạnh</t>
  </si>
  <si>
    <t>P</t>
  </si>
  <si>
    <t>Nguyễn Thị Khuyên</t>
  </si>
  <si>
    <t>Vũ Ngọc Tân</t>
  </si>
  <si>
    <t>Lê Thị Hiền</t>
  </si>
  <si>
    <t>Lưu Đức Hạnh</t>
  </si>
  <si>
    <t>Hoàng Thị Thanh Tuyền</t>
  </si>
  <si>
    <t>TV</t>
  </si>
  <si>
    <t>Trương Thanh Tùng</t>
  </si>
  <si>
    <t>Nguyễn Thị Hồng</t>
  </si>
  <si>
    <t>Khương Viết Việt</t>
  </si>
  <si>
    <t>KNL</t>
  </si>
  <si>
    <t>Đào Văn Cường</t>
  </si>
  <si>
    <t>NL</t>
  </si>
  <si>
    <t>Chu Thị Thu Hiền</t>
  </si>
  <si>
    <t>Chu Vinh Dũng</t>
  </si>
  <si>
    <t>Đào Thị Huệ</t>
  </si>
  <si>
    <t>Đào Thị Hường</t>
  </si>
  <si>
    <t>Đinh Thị Thu Hiền</t>
  </si>
  <si>
    <t>Đinh Xuân Lực</t>
  </si>
  <si>
    <t>Đoàn Văn Anh</t>
  </si>
  <si>
    <t>Hoàng Thị Phương</t>
  </si>
  <si>
    <t>Khổng Thị Lan Anh</t>
  </si>
  <si>
    <t>Ngô Văn Giang</t>
  </si>
  <si>
    <t>Ngô Văn Thưởng</t>
  </si>
  <si>
    <t>Nguyễn Văn Luân</t>
  </si>
  <si>
    <t>Phan Duy Hội</t>
  </si>
  <si>
    <t>Phan Thanh Liêm</t>
  </si>
  <si>
    <t>Tạ Minh Khanh</t>
  </si>
  <si>
    <t>Công chuẩn 24, Quản sinh 26</t>
  </si>
  <si>
    <t>Cách tính lương tháng 5</t>
  </si>
  <si>
    <t>Ký hiệu chấm công</t>
  </si>
  <si>
    <t>Đi làm thứ 7</t>
  </si>
  <si>
    <t>- Lương tháng 5 = Lương thỏa thuận / công chuẩn x tổng công đi làm thực tế</t>
  </si>
  <si>
    <t>Một ngày công</t>
  </si>
  <si>
    <t>+</t>
  </si>
  <si>
    <t>Làm thêm ngày thường</t>
  </si>
  <si>
    <t>- Nguyễn Văn Quyết tính phụ cấp lái xe tiễn sân bay 300.000đ/ngày (không phụ thuộc số chuyến). Phụ cấp đóng mở cửa Công ty: 1.000.000đ/tháng</t>
  </si>
  <si>
    <t>Nửa ngày công</t>
  </si>
  <si>
    <t>Quên chấm vân tay 1 lần</t>
  </si>
  <si>
    <t>- Trương Thanh Tùng tính lương theo cơ chế khoán công việc 6,5tr/tháng, đi làm tối thiểu 1 ngày/tuần</t>
  </si>
  <si>
    <t>Nghỉ phép</t>
  </si>
  <si>
    <t>Trước 05h, sau 21h</t>
  </si>
  <si>
    <t>Số ngày nghỉ lễ: 2 ngày</t>
  </si>
  <si>
    <t>- Lê Văn Bình tính lương theo cơ chế khoán</t>
  </si>
  <si>
    <t>P/2</t>
  </si>
  <si>
    <t>Nửa ngày phép</t>
  </si>
  <si>
    <t>- Nghỉ bù ngày lễ 02/05, 03/05</t>
  </si>
  <si>
    <t>- Nguyễn Thị Hạnh nghỉ việc, chốt hết phép</t>
  </si>
  <si>
    <t>Công tác nửa ngày</t>
  </si>
  <si>
    <t>R+</t>
  </si>
  <si>
    <t>Lễ tết</t>
  </si>
  <si>
    <t>BAN LÃNH ĐẠO</t>
  </si>
  <si>
    <t>PHÒNG HCTH</t>
  </si>
  <si>
    <t>Thời gian chấm công chi tiết</t>
  </si>
  <si>
    <t>bắt đầu</t>
  </si>
  <si>
    <t>đi muộn</t>
  </si>
  <si>
    <t>chấm cơm</t>
  </si>
  <si>
    <t>nghỉ trưa</t>
  </si>
  <si>
    <t>buổi chiều</t>
  </si>
  <si>
    <t>kết thúc</t>
  </si>
  <si>
    <t>trực đêm</t>
  </si>
  <si>
    <t>Ngày QT</t>
  </si>
  <si>
    <t>Mã NV</t>
  </si>
  <si>
    <t>Họ và Tên</t>
  </si>
  <si>
    <t>Chức vụ</t>
  </si>
  <si>
    <t>Giờ vào</t>
  </si>
  <si>
    <t>Giờ ra</t>
  </si>
  <si>
    <t>Phòng</t>
  </si>
  <si>
    <t>Chấm vào</t>
  </si>
  <si>
    <t>Chấm ra</t>
  </si>
  <si>
    <t>Giờ vào riêng</t>
  </si>
  <si>
    <t>Giờ ra riêng</t>
  </si>
  <si>
    <t>Tính vào</t>
  </si>
  <si>
    <t>Tính ra</t>
  </si>
  <si>
    <t>Sáng</t>
  </si>
  <si>
    <t>Chiều</t>
  </si>
  <si>
    <t>Công</t>
  </si>
  <si>
    <t>Bộ phận: Phòng Đào Tạo</t>
  </si>
  <si>
    <t>Nhân viên</t>
  </si>
  <si>
    <t>Trưởng phòng</t>
  </si>
  <si>
    <t>Bộ phận: Phòng Nghiệp Vụ</t>
  </si>
  <si>
    <t>Phó Phòng</t>
  </si>
  <si>
    <t>Bộ phận: Phòng Nhân Lực</t>
  </si>
  <si>
    <t>Khổng Thị Lan ANh</t>
  </si>
  <si>
    <t>Đỗ Duy Khánh</t>
  </si>
  <si>
    <t>Bộ phận: Phòng Hành Chính</t>
  </si>
  <si>
    <t>Bộ phận: Phòng Kế Toán</t>
  </si>
  <si>
    <t>Bộ phận: Phòng Tư Vấn</t>
  </si>
  <si>
    <t>Bộ phận: Phòng Tổ Chức - Pháp Chế</t>
  </si>
  <si>
    <t>sáng sớm</t>
  </si>
  <si>
    <t>tối muộn</t>
  </si>
  <si>
    <t>LX ăn trưa</t>
  </si>
  <si>
    <t>LX ăn tối</t>
  </si>
  <si>
    <t>Các trường hợp phát sinh chấm công</t>
  </si>
  <si>
    <t>Nội dung</t>
  </si>
  <si>
    <t>Ngày</t>
  </si>
  <si>
    <t>Mã số</t>
  </si>
  <si>
    <t>&lt;05h &gt;21h thường</t>
  </si>
  <si>
    <t>&lt;05h &gt;21h cuối tuần</t>
  </si>
  <si>
    <t>Trực ĐT đến 21h</t>
  </si>
  <si>
    <t>Đi lại sau 22h30</t>
  </si>
  <si>
    <t>LX CT qua đêm</t>
  </si>
  <si>
    <t>Cơm LX + thêm</t>
  </si>
  <si>
    <t>Ngoài giờ</t>
  </si>
  <si>
    <t>Công thức</t>
  </si>
  <si>
    <t>BLĐ
sếp Hiển đi CT Hưng Yên</t>
  </si>
  <si>
    <t>Nghỉ lễ</t>
  </si>
  <si>
    <t>Ban lãnh đạo
Sếp Hiển
Công tác Hưng Yên
12/05/2022</t>
  </si>
  <si>
    <t>BLĐ
Sếp Hiển
Tiếp khách muộn</t>
  </si>
  <si>
    <t>BLĐ
Sếp Hiển
Tiếp khách kiểm tra trước thi tuyển Toyama</t>
  </si>
  <si>
    <t>BLĐ
Sếp Thành
Công tác Đà Nẵng, TP HCM
15/05 - 21/05</t>
  </si>
  <si>
    <t>BLĐ
Sếp Công
Công tác</t>
  </si>
  <si>
    <t>BLĐ
Đinh Nho Hồng
Nghỉ phép =&gt; nghỉ không lương</t>
  </si>
  <si>
    <t>BLĐ
sếp Hồng
CT Nhật Bản 22-29/05/2022</t>
  </si>
  <si>
    <t>ĐT
Bùi Thị Hoa
ngày 21/04
Chưa lấy dấu vân tay
Tính bù công ngày 14/05</t>
  </si>
  <si>
    <t>ĐT
Đỗ Thị Thu Trang
Nghỉ phép =&gt; nghỉ không lương
13/05</t>
  </si>
  <si>
    <t>ĐT
Dạy học Online</t>
  </si>
  <si>
    <t>DT
Nguyễn Thị Bình
Nghỉ phép =&gt; nghỉ không lương
09/05</t>
  </si>
  <si>
    <t>ĐT
Dạy thêm</t>
  </si>
  <si>
    <t>DT
Nguyễn Thị Mai
Nghỉ phép =&gt; nghỉ không lương
07/05</t>
  </si>
  <si>
    <t>DT
Nguyễn Thị Mai
16/05
Họp về muộn không chấm công</t>
  </si>
  <si>
    <t>ĐT
Nguyễn Thị Thúy
ngày 21/04
Chưa lấy dấu vân tay
Tính bù công ngày 20/05</t>
  </si>
  <si>
    <t>DT
Phạm Thị Thanh
Nghỉ phép =&gt; nghỉ không lương
10/05</t>
  </si>
  <si>
    <t>HCTH
Nguyễn Đình Long
Hỗ trợ CT Hưng Yên
12/05/2022</t>
  </si>
  <si>
    <t>làm thêm ngày thường</t>
  </si>
  <si>
    <t>HCTH
Nguyễn Đình Long
Nghỉ không lương =&gt; nghỉ bù 12/05 đi sớm về muộn
17/05/2022</t>
  </si>
  <si>
    <t>HCTH
Nguyễn Đình Long
25/05
Hỗ trợ phòng NV đi lấy laptop  từ nhà chị Ngân, vào muộn</t>
  </si>
  <si>
    <t>HCTH
Nguyễn Văn Thích
21/05
@Vũ Thị Phượng @Long Nguyễn nay Anh đi họp phụ huynh cho cháu vào muộn nhé. Có vc gì lquan nt Anh, tks</t>
  </si>
  <si>
    <t>HCTH
Vũ Thị Phượng
26/04
Đi làm theo thực tế</t>
  </si>
  <si>
    <t>HCTH
Vũ Thị Phượng
10/05
Đi làm theo thực tế</t>
  </si>
  <si>
    <t>28/04
@Long Nguyễn Hôm nay, Anh đi công tác địa phương em nhe!</t>
  </si>
  <si>
    <t>07/05 A. Việt
Hnay anh qua đối tác nên không qua văn phòng  @Long Nguyễn em nhe.</t>
  </si>
  <si>
    <t>@Long Nguyễn e ơi hnay chị ra ngân hàng chấm công vào muộn nhé</t>
  </si>
  <si>
    <t>Hoàng Văn Cường
5/5/2022 xin về sớm 1 tiếng cho việc gia đình</t>
  </si>
  <si>
    <t>NV
Hoàng Văn Cường
xing nghỉ phép chăm con ốm =&gt; nghỉ không lương
11-12/05</t>
  </si>
  <si>
    <t>NV
Hoàng Văn Cường
xing nghỉ phép chăm con ốm
11-12/05</t>
  </si>
  <si>
    <t>Ngày 12/5
Hoàng Văn Cường
Xin phép nghỉ việc gia đình =&gt; nghỉ không lương</t>
  </si>
  <si>
    <t>Ngày 13/5
Hoàng Văn Cường
Xin phép nghỉ buổi sáng, việc gia đình =&gt; nghỉ không lương</t>
  </si>
  <si>
    <t>Ngày 16/5
Hoàng Văn Cường
Xin phép nghỉ buổi sáng, việc gia đình</t>
  </si>
  <si>
    <t>NV
Hoàng Văn Cường
Báo cáo làm thêm tiễn bay</t>
  </si>
  <si>
    <t>Lê Thị Hiền
6/5/2022 xin nghỉ việc gia đình</t>
  </si>
  <si>
    <t>Ngày 23/5/2022
Lê Thị Hiền
Xin phép đến muộn 30p (con bị đau bụng)</t>
  </si>
  <si>
    <t>NV
Lưu Đức Hạnh
05/05/2022
Mới nhận việc, chưa lấy dấu vân tay, chấm công vào muộn
Quên chấm vân tay lần đầu</t>
  </si>
  <si>
    <t>NV
Lưu Đức Hạnh
06/05/2022
Mới nhận việc</t>
  </si>
  <si>
    <t>Ngày 23/5/2022
Lưu Đức Hạnh
Em xin phép đến muộn khoảng hơn 10 phút</t>
  </si>
  <si>
    <t>11/5 
NGUYỄN THỊ HA
Xin phép nghỉ buổi sang cho con đi tiêm phòng</t>
  </si>
  <si>
    <t>Ngày 11/5
Lưu Đức Hạnh
xin phép đến muộn 30’ - việc cá nhân</t>
  </si>
  <si>
    <t>NV
Nguyễn Thị Hồng Hạnh
Bù ngày phép trước khi nghỉ việc</t>
  </si>
  <si>
    <t>Ngày 19/5/2022
Nguyễn Thị Hồng Hạnh
Xin phép đến muộn ( đưa bà đi khám bệnh)</t>
  </si>
  <si>
    <t>Tiễn đoàn bay Suruzan</t>
  </si>
  <si>
    <t>Nguyễn Thị Khuyên
ngày 14/5/2022 (Thứ 7) không chấm công ra.
Lý do: tiếp khách về muộn nên đã bắt xe ôm từ Hotel về thẳng nhà.</t>
  </si>
  <si>
    <t>làm thêm T7, CN</t>
  </si>
  <si>
    <t>Phỏng vấn thử ĐH Ucoop</t>
  </si>
  <si>
    <t>Tiếp khách NĐ Jactec</t>
  </si>
  <si>
    <t>Ngày 19/5/2022
Nguyễn Thị Khuyên
Không chấm công vào
Lý do: Tiếp khách - Dẫn khách về nhà TTS từ 6h sáng</t>
  </si>
  <si>
    <t>Tiếp đón Mr Suzuki</t>
  </si>
  <si>
    <t>Tiễn bay</t>
  </si>
  <si>
    <t>NV
Nguyễn Thị Thúy Ngân
25/05
Mắc covid, làm việc online</t>
  </si>
  <si>
    <t>Nguyễn Thị Thúy Ngân</t>
  </si>
  <si>
    <t>Ngày 28/4/2022
Trịnh Thị Huyền Trang
Xin phép chấm công vào muộn,lí do đi họp hội nghị luật lao động trên Cục.</t>
  </si>
  <si>
    <t>Ngày 9/5/2022
Trịnh Thị Huyền Trang
Chấm công ra sớm sang Trung tâm ITM gặp TTS Daikyo.</t>
  </si>
  <si>
    <t>Tiễn đoàn bay life food</t>
  </si>
  <si>
    <t>Ngày 28/4/2022
Vũ Ngọc Tân
Xin phép chấm công vào muộn,lí do tiễn bay về muộn, sang tổng xin dấu.
Tiễn đoàn bay Fashionet</t>
  </si>
  <si>
    <t>Ngày 29/4/2022
Vũ Ngọc Tân 
Xin phép chấm công đến muộn, lí do tiễn bay về muộn, lên cục trình thư lấy thư</t>
  </si>
  <si>
    <t>Tiễn đoàn bay Nagasaki</t>
  </si>
  <si>
    <t>Ngày 6/5/2022
Vũ Ngọc Tân
Xin phép chấm công vào muộn, lí do tiễn bay về muộn</t>
  </si>
  <si>
    <t>Tiễn đoàn bay AI network</t>
  </si>
  <si>
    <t>Ngày 9/5/2022
Vũ Ngọc Tân
Xin phép chấm công vào muộn, lên cục lấy thư phái cử bên jacomex
Tiễn đoàn bay Ateta Digital</t>
  </si>
  <si>
    <t>Ngày 10/5/2022
Vũ Ngọc Tân
Xin phép chấm công vào muộn,lên cục trình cục lấy thư,sang tổng xin dấu, sang letco xin dấu, tiễn bay về muộn</t>
  </si>
  <si>
    <t>Ngày 13/5/2022 
Vũ Ngọc Tân
Xin phép chấm công vào muộn, lên cục trình thư lấy thư, sang Letco lấy hđxc</t>
  </si>
  <si>
    <t>Tiễn đoàn bay Nishinihon</t>
  </si>
  <si>
    <t>Ngày 16/5/2022
Vũ Ngọc Tân
Xin phép chấm công vào muộn, lý do : tiễn bay về muộn
qua tổng lấy hợp đồng trả về của MPW nên về cty muộn</t>
  </si>
  <si>
    <t>Ngày 18/5/2022
Vũ Ngọc Tân
Xin phép chấm công vào muộn, lý do: tiễn bay về muộn, lên cục trình cục lấy thư
về sớm lên đại sứ quán lấy visa</t>
  </si>
  <si>
    <t>Ngày 20/5/2022
Vũ Ngọc Tân 
Xin phép chấm công vào muộn, lý do tiễn bay về muộn, lên cục trình thư lấy thư
chấm công ra sớm, sang tổng lấy thư</t>
  </si>
  <si>
    <t>Ngày 24/5/2022
Vũ Ngọc Tân xin phép chấm công vào muộn, lý do tiễn bay về muộn a
Tiễn đoàn bay Kumamoto + IIS</t>
  </si>
  <si>
    <t>Ngày 25/5/2022
Vũ Ngọc Tân 
Xin phép chấm công vào muộn, lý do tiễn bay về muộn
tiễn bay</t>
  </si>
  <si>
    <t>ĐT
Nguyễn Văn Quyết
T4
Hạn chế chấm công, tiếp xúc</t>
  </si>
  <si>
    <t>Tiễn sân bay</t>
  </si>
  <si>
    <t>ĐT
Nguyễn Văn Quyết
19-20/05/2022
Lái xe đưa khách về muộn, không mở cửa tầng 1 chấm công</t>
  </si>
  <si>
    <t>PTV CÓ ĐC HOÀNG THỊ THANH TUYỀN ĐI LẤY ẢNH TTS CHẤM CÔNG VÀO MUỘN BUỔI SÁNG.</t>
  </si>
  <si>
    <t>NGÀY 4/5 PTV CÓ DC HOÀNG THỊ THANH TUYỄN XIN PHÉP CHẤM CÔNG VÀO MUỘN ĐI LẤY ẢNH TTS.</t>
  </si>
  <si>
    <t>NGÀY 10/05/2022 HOÀNG THỊ THANH TUYỀN ĐI LẤY  ẢNH TTS CHẤM CÔNG VÀO MUỘN BUỔI SÁNG. EM @Long Nguyễn  NHÉ</t>
  </si>
  <si>
    <t>PTV ĐC HOÀNG THỊ THANH TUYỀN CHẤM.CÔNG VÀO MUỘN ĐI LẤY ẢNH TTS NGÀY 16/5 .</t>
  </si>
  <si>
    <t xml:space="preserve">20/05
Ptv đc Hoàng Thị Thanh Tuyền chấm công vào muộn đi lấy ảnh tts. </t>
  </si>
  <si>
    <t xml:space="preserve"> Ngày 21/5 hoàng thị thanh tuyền chấm công vào muộn đi lấy ảnh tts bổ sung</t>
  </si>
  <si>
    <t xml:space="preserve">PTV CÓ ĐC NGUYỄN THỊ HỒNG RA VIỆN HD TTS KHÁM.LẠI SK.   CHẤM CÔNG VÀO MUỘN BUỔI SÁNG. </t>
  </si>
  <si>
    <t xml:space="preserve">PTV CÓ ĐC HỒNG RA VIỆN LẤY KQ SỨC KHOẺ CHIỀU NGÀY 6/5/2022 CHẤM CÔNG RA NGOÀI. </t>
  </si>
  <si>
    <t>Ngày 19/05/2022 đc Nguyễn Thị Hồng chấm công vào muộn ra viện lấy SK của TTS.</t>
  </si>
  <si>
    <t>THEO DÕI NGHỈ PHÉP 2022</t>
  </si>
  <si>
    <t>SỐ PHÉP ĐÃ DÙNG</t>
  </si>
  <si>
    <t>CỘNG PHÉP</t>
  </si>
  <si>
    <t>Phép có</t>
  </si>
  <si>
    <t>Đã dùng</t>
  </si>
  <si>
    <t>Còn lại</t>
  </si>
  <si>
    <t>Tháng 01</t>
  </si>
  <si>
    <t>Tháng 02</t>
  </si>
  <si>
    <t>Tháng 03</t>
  </si>
  <si>
    <t>Tháng 04</t>
  </si>
  <si>
    <t>Tháng 05</t>
  </si>
  <si>
    <t>Tháng 06</t>
  </si>
  <si>
    <t>Tháng 07</t>
  </si>
  <si>
    <t>Tháng 08</t>
  </si>
  <si>
    <t>Tháng 09</t>
  </si>
  <si>
    <t>Tháng 10</t>
  </si>
  <si>
    <t>Tháng 11</t>
  </si>
  <si>
    <t>Tháng 12</t>
  </si>
  <si>
    <t>Ngày vào</t>
  </si>
  <si>
    <t>+ Phép &gt;3 năm</t>
  </si>
  <si>
    <t>+ Phép T01</t>
  </si>
  <si>
    <t>+ Phép T02</t>
  </si>
  <si>
    <t>+ Phép T03</t>
  </si>
  <si>
    <t>+ Phép T04</t>
  </si>
  <si>
    <t>+ Phép T05</t>
  </si>
  <si>
    <t>+ Phép T06</t>
  </si>
  <si>
    <t>+ Phép T07</t>
  </si>
  <si>
    <t>+ Phép T08</t>
  </si>
  <si>
    <t>+ Phép T09</t>
  </si>
  <si>
    <t>+ Phép T10</t>
  </si>
  <si>
    <t>+ Phép T11</t>
  </si>
  <si>
    <t>+ Phép T12</t>
  </si>
  <si>
    <t>Chưa tính phép</t>
  </si>
  <si>
    <t>Ngày 26/5/2022
Vũ Ngọc Tân 
Xin phép chấm công vào muộn, lý do tiễn bay về muộn,sang tổng xin dấu</t>
  </si>
  <si>
    <t>Ngày 26/5/2022
Nguyễn Thị Hà 
Xin phép đến muộn 2 tiếng , lý do bé thứ 2 đang sốt</t>
  </si>
  <si>
    <t>Nguyễn Thụ Khuyên
đăng ký đi làm thứ 7, chủ Nhật (28,29/5)
 đào tạo và luyện tập trước Pv đơn hàng may Toyama
Nhân sự vào HTC nội bộ mà đổi mật khẩu chưa đk trên đó được 
@Long Nguyễn  note cho chị nhé</t>
  </si>
  <si>
    <t>"Nguyễn Thụ Khuyên
đăng ký đi làm thứ 7, chủ Nhật (28,29/5)
 đào tạo và luyện tập trước Pv đơn hàng may Toyama
Nhân sự vào HTC nội bộ mà đổi mật khẩu chưa đk trên đó được 
@Long Nguyễn  note cho chị nhé"</t>
  </si>
  <si>
    <t>Ngày 30/5/2022
Lê Thị Hiền
Xin phép nghỉ buổi sáng để đưa con đi bệnh viện khám</t>
  </si>
  <si>
    <t>Ngày 30/05/2022
Vũ Ngọc Tân
Xin phép chấm công vào muộn lý do tiễn bay về muộn, lên cục trình cục lấy thư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</si>
</sst>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2">
    <numFmt numFmtId="164" formatCode="&quot;Tháng &quot;mm"/>
    <numFmt numFmtId="165" formatCode="dd"/>
    <numFmt numFmtId="166" formatCode="[=0];[&lt;0.95]0.#;#"/>
    <numFmt numFmtId="167" formatCode="[=0];[&gt;0]0.00"/>
    <numFmt numFmtId="168" formatCode="[=0];[&lt;1]0.#;#"/>
    <numFmt numFmtId="169" formatCode="hh:mm"/>
    <numFmt numFmtId="170" formatCode="dd/mm"/>
    <numFmt numFmtId="171" formatCode="[&gt;0]# &quot;Ngày&quot;"/>
    <numFmt numFmtId="172" formatCode="dd/MM/yyyy"/>
    <numFmt numFmtId="173" formatCode="hh&quot;:&quot;mm"/>
    <numFmt numFmtId="174" formatCode="#,##0.0"/>
    <numFmt numFmtId="175" formatCode="[=0];0.00"/>
    <numFmt numFmtId="176" formatCode="dd/mm/yyyy"/>
    <numFmt numFmtId="177" formatCode="dddd&quot;, &quot;dd&quot;/&quot;mm&quot; &quot;"/>
    <numFmt numFmtId="178" formatCode="[=0];[&lt;1]0.#0;#.00"/>
    <numFmt numFmtId="179" formatCode="[=0];[&lt;0.95]0.#0;#.00"/>
    <numFmt numFmtId="180" formatCode="dd&quot; / tháng &quot;mm&quot; / &quot;yyyy"/>
    <numFmt numFmtId="181" formatCode="[=0];[&lt;1]0.#0;#.0"/>
    <numFmt numFmtId="182" formatCode="dd&quot;/&quot;mm"/>
    <numFmt numFmtId="183" formatCode="#"/>
    <numFmt numFmtId="184" formatCode="[=0];[&lt;0.95]0.#;#.0"/>
    <numFmt numFmtId="185" formatCode="#,##0\ [$đ-42A]"/>
  </numFmts>
  <fonts count="27">
    <font>
      <sz val="10.0"/>
      <color rgb="FF000000"/>
      <name val="Arial"/>
      <scheme val="minor"/>
    </font>
    <font>
      <color theme="1"/>
      <name val="Times New Roman"/>
    </font>
    <font>
      <b/>
      <sz val="18.0"/>
      <color theme="1"/>
      <name val="Times New Roman"/>
    </font>
    <font>
      <sz val="8.0"/>
      <color theme="1"/>
      <name val="Times New Roman"/>
    </font>
    <font>
      <b/>
      <sz val="12.0"/>
      <color theme="1"/>
      <name val="Times New Roman"/>
    </font>
    <font/>
    <font>
      <b/>
      <sz val="9.0"/>
      <color theme="1"/>
      <name val="Times New Roman"/>
    </font>
    <font>
      <b/>
      <color theme="1"/>
      <name val="Times New Roman"/>
    </font>
    <font>
      <color theme="0"/>
      <name val="Times New Roman"/>
    </font>
    <font>
      <color theme="1"/>
      <name val="Arial"/>
      <scheme val="minor"/>
    </font>
    <font>
      <b/>
      <sz val="18.0"/>
      <color rgb="FF0000FF"/>
      <name val="Times New Roman"/>
    </font>
    <font>
      <b/>
      <sz val="9.0"/>
      <color rgb="FF0000FF"/>
      <name val="Times New Roman"/>
    </font>
    <font>
      <b/>
      <sz val="9.0"/>
      <color rgb="FF0000FF"/>
      <name val="&quot;Times New Roman&quot;"/>
    </font>
    <font>
      <b/>
      <sz val="9.0"/>
      <color rgb="FF000000"/>
      <name val="&quot;Times New Roman&quot;"/>
    </font>
    <font>
      <color rgb="FF000000"/>
      <name val="Times New Roman"/>
    </font>
    <font>
      <color rgb="FF000000"/>
      <name val="&quot;Times New Roman&quot;"/>
    </font>
    <font>
      <b/>
      <sz val="10.0"/>
      <color theme="1"/>
      <name val="Times New Roman"/>
    </font>
    <font>
      <sz val="10.0"/>
      <color theme="1"/>
      <name val="Times New Roman"/>
    </font>
    <font>
      <b/>
      <sz val="24.0"/>
      <color theme="1"/>
      <name val="Times New Roman"/>
    </font>
    <font>
      <sz val="10.0"/>
      <color rgb="FF000000"/>
      <name val="Times New Roman"/>
    </font>
    <font>
      <sz val="11.0"/>
      <color rgb="FF000000"/>
      <name val="Times New Roman"/>
    </font>
    <font>
      <sz val="8.0"/>
      <color theme="8"/>
      <name val="Times New Roman"/>
    </font>
    <font>
      <b/>
      <sz val="11.0"/>
      <color theme="1"/>
      <name val="Times New Roman"/>
    </font>
    <font>
      <b/>
      <sz val="8.0"/>
      <color theme="8"/>
      <name val="Times New Roman"/>
    </font>
    <font>
      <sz val="11.0"/>
      <color rgb="FF000000"/>
      <name val="Inconsolata"/>
    </font>
    <font>
      <sz val="10.0"/>
      <color theme="0"/>
      <name val="Times New Roman"/>
    </font>
    <font>
      <color theme="1"/>
      <name val="&quot;Times New Roman&quot;"/>
    </font>
  </fonts>
  <fills count="16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8"/>
        <bgColor theme="8"/>
      </patternFill>
    </fill>
    <fill>
      <patternFill patternType="solid">
        <fgColor rgb="FF00FF00"/>
        <bgColor rgb="FF00FF00"/>
      </patternFill>
    </fill>
    <fill>
      <patternFill patternType="solid">
        <fgColor rgb="FFF6B26B"/>
        <bgColor rgb="FFF6B26B"/>
      </patternFill>
    </fill>
    <fill>
      <patternFill patternType="solid">
        <fgColor rgb="FF9900FF"/>
        <bgColor rgb="FF9900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theme="6"/>
        <bgColor theme="6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horizontal="right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vertical="center"/>
    </xf>
    <xf borderId="0" fillId="2" fontId="1" numFmtId="0" xfId="0" applyAlignment="1" applyFill="1" applyFont="1">
      <alignment readingOrder="0" vertical="center"/>
    </xf>
    <xf borderId="0" fillId="2" fontId="1" numFmtId="0" xfId="0" applyAlignment="1" applyFont="1">
      <alignment horizontal="right" readingOrder="0" vertical="center"/>
    </xf>
    <xf borderId="0" fillId="2" fontId="1" numFmtId="0" xfId="0" applyAlignment="1" applyFont="1">
      <alignment vertical="center"/>
    </xf>
    <xf borderId="0" fillId="2" fontId="3" numFmtId="0" xfId="0" applyAlignment="1" applyFont="1">
      <alignment shrinkToFit="0" vertical="center" wrapText="1"/>
    </xf>
    <xf borderId="0" fillId="3" fontId="1" numFmtId="0" xfId="0" applyAlignment="1" applyFill="1" applyFont="1">
      <alignment readingOrder="0" vertical="center"/>
    </xf>
    <xf borderId="0" fillId="3" fontId="1" numFmtId="0" xfId="0" applyAlignment="1" applyFont="1">
      <alignment horizontal="right" readingOrder="0" vertical="center"/>
    </xf>
    <xf borderId="0" fillId="3" fontId="1" numFmtId="0" xfId="0" applyAlignment="1" applyFont="1">
      <alignment vertical="center"/>
    </xf>
    <xf borderId="0" fillId="3" fontId="3" numFmtId="0" xfId="0" applyAlignment="1" applyFont="1">
      <alignment shrinkToFit="0" vertical="center" wrapText="1"/>
    </xf>
    <xf borderId="0" fillId="4" fontId="1" numFmtId="0" xfId="0" applyAlignment="1" applyFill="1" applyFont="1">
      <alignment readingOrder="0" vertical="center"/>
    </xf>
    <xf borderId="0" fillId="4" fontId="1" numFmtId="0" xfId="0" applyAlignment="1" applyFont="1">
      <alignment horizontal="right" readingOrder="0" vertical="center"/>
    </xf>
    <xf borderId="0" fillId="4" fontId="1" numFmtId="0" xfId="0" applyAlignment="1" applyFont="1">
      <alignment vertical="center"/>
    </xf>
    <xf borderId="0" fillId="4" fontId="3" numFmtId="0" xfId="0" applyAlignment="1" applyFont="1">
      <alignment shrinkToFit="0" vertical="center" wrapText="1"/>
    </xf>
    <xf borderId="1" fillId="3" fontId="4" numFmtId="0" xfId="0" applyAlignment="1" applyBorder="1" applyFont="1">
      <alignment horizontal="center" readingOrder="0" vertical="center"/>
    </xf>
    <xf borderId="2" fillId="3" fontId="5" numFmtId="0" xfId="0" applyBorder="1" applyFont="1"/>
    <xf borderId="3" fillId="3" fontId="5" numFmtId="0" xfId="0" applyBorder="1" applyFont="1"/>
    <xf borderId="1" fillId="3" fontId="4" numFmtId="164" xfId="0" applyAlignment="1" applyBorder="1" applyFont="1" applyNumberFormat="1">
      <alignment horizontal="center" vertical="center"/>
    </xf>
    <xf borderId="1" fillId="3" fontId="4" numFmtId="164" xfId="0" applyAlignment="1" applyBorder="1" applyFont="1" applyNumberFormat="1">
      <alignment horizontal="center" readingOrder="0" vertical="center"/>
    </xf>
    <xf borderId="4" fillId="3" fontId="6" numFmtId="0" xfId="0" applyAlignment="1" applyBorder="1" applyFont="1">
      <alignment horizontal="left" readingOrder="0" shrinkToFit="0" textRotation="0" vertical="center" wrapText="1"/>
    </xf>
    <xf borderId="5" fillId="3" fontId="4" numFmtId="0" xfId="0" applyAlignment="1" applyBorder="1" applyFont="1">
      <alignment horizontal="left" readingOrder="0" shrinkToFit="0" textRotation="0" vertical="center" wrapText="1"/>
    </xf>
    <xf borderId="6" fillId="3" fontId="5" numFmtId="0" xfId="0" applyBorder="1" applyFont="1"/>
    <xf borderId="7" fillId="3" fontId="5" numFmtId="0" xfId="0" applyBorder="1" applyFont="1"/>
    <xf borderId="5" fillId="3" fontId="4" numFmtId="0" xfId="0" applyAlignment="1" applyBorder="1" applyFont="1">
      <alignment horizontal="center" readingOrder="0" vertical="center"/>
    </xf>
    <xf borderId="8" fillId="4" fontId="7" numFmtId="0" xfId="0" applyAlignment="1" applyBorder="1" applyFont="1">
      <alignment readingOrder="0" vertical="center"/>
    </xf>
    <xf borderId="8" fillId="4" fontId="7" numFmtId="0" xfId="0" applyAlignment="1" applyBorder="1" applyFont="1">
      <alignment horizontal="right" readingOrder="0" vertical="center"/>
    </xf>
    <xf borderId="8" fillId="4" fontId="7" numFmtId="0" xfId="0" applyAlignment="1" applyBorder="1" applyFont="1">
      <alignment readingOrder="0" shrinkToFit="0" vertical="center" wrapText="1"/>
    </xf>
    <xf borderId="8" fillId="4" fontId="7" numFmtId="165" xfId="0" applyAlignment="1" applyBorder="1" applyFont="1" applyNumberFormat="1">
      <alignment horizontal="center" vertical="center"/>
    </xf>
    <xf borderId="9" fillId="4" fontId="5" numFmtId="0" xfId="0" applyBorder="1" applyFont="1"/>
    <xf borderId="4" fillId="4" fontId="6" numFmtId="0" xfId="0" applyAlignment="1" applyBorder="1" applyFont="1">
      <alignment horizontal="left" readingOrder="0" shrinkToFit="0" textRotation="0" vertical="center" wrapText="1"/>
    </xf>
    <xf borderId="8" fillId="4" fontId="7" numFmtId="165" xfId="0" applyAlignment="1" applyBorder="1" applyFont="1" applyNumberFormat="1">
      <alignment vertical="center"/>
    </xf>
    <xf borderId="8" fillId="3" fontId="1" numFmtId="0" xfId="0" applyAlignment="1" applyBorder="1" applyFont="1">
      <alignment readingOrder="0" vertical="center"/>
    </xf>
    <xf borderId="8" fillId="3" fontId="1" numFmtId="0" xfId="0" applyAlignment="1" applyBorder="1" applyFont="1">
      <alignment horizontal="right" readingOrder="0" vertical="center"/>
    </xf>
    <xf borderId="8" fillId="3" fontId="1" numFmtId="0" xfId="0" applyAlignment="1" applyBorder="1" applyFont="1">
      <alignment vertical="center"/>
    </xf>
    <xf borderId="8" fillId="3" fontId="3" numFmtId="166" xfId="0" applyAlignment="1" applyBorder="1" applyFont="1" applyNumberFormat="1">
      <alignment horizontal="center" readingOrder="0" vertical="center"/>
    </xf>
    <xf borderId="8" fillId="3" fontId="3" numFmtId="167" xfId="0" applyAlignment="1" applyBorder="1" applyFont="1" applyNumberFormat="1">
      <alignment shrinkToFit="0" vertical="center" wrapText="1"/>
    </xf>
    <xf borderId="8" fillId="3" fontId="1" numFmtId="168" xfId="0" applyAlignment="1" applyBorder="1" applyFont="1" applyNumberFormat="1">
      <alignment vertical="center"/>
    </xf>
    <xf borderId="8" fillId="4" fontId="1" numFmtId="0" xfId="0" applyAlignment="1" applyBorder="1" applyFont="1">
      <alignment readingOrder="0" vertical="center"/>
    </xf>
    <xf borderId="8" fillId="4" fontId="1" numFmtId="0" xfId="0" applyAlignment="1" applyBorder="1" applyFont="1">
      <alignment horizontal="right" readingOrder="0" vertical="center"/>
    </xf>
    <xf borderId="8" fillId="4" fontId="1" numFmtId="0" xfId="0" applyAlignment="1" applyBorder="1" applyFont="1">
      <alignment vertical="center"/>
    </xf>
    <xf borderId="8" fillId="4" fontId="3" numFmtId="166" xfId="0" applyAlignment="1" applyBorder="1" applyFont="1" applyNumberFormat="1">
      <alignment horizontal="center" readingOrder="0" vertical="center"/>
    </xf>
    <xf borderId="8" fillId="4" fontId="3" numFmtId="167" xfId="0" applyAlignment="1" applyBorder="1" applyFont="1" applyNumberFormat="1">
      <alignment shrinkToFit="0" vertical="center" wrapText="1"/>
    </xf>
    <xf borderId="8" fillId="4" fontId="1" numFmtId="168" xfId="0" applyAlignment="1" applyBorder="1" applyFont="1" applyNumberFormat="1">
      <alignment vertical="center"/>
    </xf>
    <xf borderId="8" fillId="3" fontId="1" numFmtId="169" xfId="0" applyAlignment="1" applyBorder="1" applyFont="1" applyNumberFormat="1">
      <alignment readingOrder="0" vertical="center"/>
    </xf>
    <xf borderId="8" fillId="4" fontId="1" numFmtId="169" xfId="0" applyAlignment="1" applyBorder="1" applyFont="1" applyNumberFormat="1">
      <alignment readingOrder="0" vertical="center"/>
    </xf>
    <xf borderId="8" fillId="3" fontId="3" numFmtId="167" xfId="0" applyAlignment="1" applyBorder="1" applyFont="1" applyNumberFormat="1">
      <alignment readingOrder="0" shrinkToFit="0" vertical="center" wrapText="1"/>
    </xf>
    <xf borderId="8" fillId="4" fontId="3" numFmtId="167" xfId="0" applyAlignment="1" applyBorder="1" applyFont="1" applyNumberFormat="1">
      <alignment readingOrder="0" shrinkToFit="0" vertical="center" wrapText="1"/>
    </xf>
    <xf borderId="8" fillId="3" fontId="1" numFmtId="0" xfId="0" applyAlignment="1" applyBorder="1" applyFont="1">
      <alignment horizontal="right" vertical="center"/>
    </xf>
    <xf borderId="8" fillId="4" fontId="1" numFmtId="0" xfId="0" applyAlignment="1" applyBorder="1" applyFont="1">
      <alignment horizontal="right" vertical="center"/>
    </xf>
    <xf borderId="0" fillId="0" fontId="1" numFmtId="0" xfId="0" applyAlignment="1" applyFont="1">
      <alignment horizontal="right" vertical="center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0" fontId="7" numFmtId="0" xfId="0" applyAlignment="1" applyFont="1">
      <alignment readingOrder="0" vertical="center"/>
    </xf>
    <xf borderId="0" fillId="0" fontId="1" numFmtId="0" xfId="0" applyAlignment="1" applyFont="1">
      <alignment horizontal="left" readingOrder="0" vertical="center"/>
    </xf>
    <xf borderId="8" fillId="0" fontId="7" numFmtId="0" xfId="0" applyAlignment="1" applyBorder="1" applyFont="1">
      <alignment horizontal="left" readingOrder="0" vertical="center"/>
    </xf>
    <xf borderId="8" fillId="0" fontId="1" numFmtId="0" xfId="0" applyAlignment="1" applyBorder="1" applyFont="1">
      <alignment vertical="center"/>
    </xf>
    <xf borderId="8" fillId="0" fontId="1" numFmtId="0" xfId="0" applyAlignment="1" applyBorder="1" applyFont="1">
      <alignment horizontal="left" readingOrder="0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8" fillId="0" fontId="1" numFmtId="170" xfId="0" applyAlignment="1" applyBorder="1" applyFont="1" applyNumberFormat="1">
      <alignment horizontal="left" readingOrder="0" vertical="center"/>
    </xf>
    <xf borderId="8" fillId="0" fontId="1" numFmtId="0" xfId="0" applyAlignment="1" applyBorder="1" applyFont="1">
      <alignment readingOrder="0" vertical="center"/>
    </xf>
    <xf quotePrefix="1" borderId="0" fillId="0" fontId="1" numFmtId="0" xfId="0" applyAlignment="1" applyFont="1">
      <alignment readingOrder="0" vertical="center"/>
    </xf>
    <xf borderId="2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readingOrder="0" vertical="center"/>
    </xf>
    <xf quotePrefix="1" borderId="8" fillId="5" fontId="1" numFmtId="0" xfId="0" applyAlignment="1" applyBorder="1" applyFill="1" applyFont="1">
      <alignment horizontal="left" readingOrder="0" vertical="center"/>
    </xf>
    <xf borderId="3" fillId="0" fontId="9" numFmtId="0" xfId="0" applyBorder="1" applyFont="1"/>
    <xf borderId="8" fillId="6" fontId="1" numFmtId="0" xfId="0" applyAlignment="1" applyBorder="1" applyFill="1" applyFont="1">
      <alignment horizontal="left" vertical="center"/>
    </xf>
    <xf borderId="8" fillId="7" fontId="1" numFmtId="0" xfId="0" applyAlignment="1" applyBorder="1" applyFill="1" applyFont="1">
      <alignment horizontal="left" vertical="center"/>
    </xf>
    <xf borderId="8" fillId="8" fontId="1" numFmtId="0" xfId="0" applyAlignment="1" applyBorder="1" applyFill="1" applyFont="1">
      <alignment horizontal="left" vertical="center"/>
    </xf>
    <xf borderId="8" fillId="0" fontId="1" numFmtId="171" xfId="0" applyAlignment="1" applyBorder="1" applyFont="1" applyNumberFormat="1">
      <alignment horizontal="right" vertical="center"/>
    </xf>
    <xf borderId="0" fillId="0" fontId="10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11" numFmtId="172" xfId="0" applyAlignment="1" applyFont="1" applyNumberFormat="1">
      <alignment horizontal="center" readingOrder="0" shrinkToFit="0" vertical="center" wrapText="1"/>
    </xf>
    <xf borderId="0" fillId="0" fontId="11" numFmtId="173" xfId="0" applyAlignment="1" applyFont="1" applyNumberFormat="1">
      <alignment horizontal="center" readingOrder="0" shrinkToFit="0" vertical="center" wrapText="1"/>
    </xf>
    <xf borderId="0" fillId="0" fontId="1" numFmtId="169" xfId="0" applyAlignment="1" applyFont="1" applyNumberFormat="1">
      <alignment readingOrder="0"/>
    </xf>
    <xf borderId="8" fillId="0" fontId="1" numFmtId="169" xfId="0" applyAlignment="1" applyBorder="1" applyFont="1" applyNumberFormat="1">
      <alignment readingOrder="0"/>
    </xf>
    <xf borderId="0" fillId="0" fontId="11" numFmtId="17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/>
    </xf>
    <xf borderId="8" fillId="0" fontId="1" numFmtId="0" xfId="0" applyAlignment="1" applyBorder="1" applyFont="1">
      <alignment readingOrder="0"/>
    </xf>
    <xf borderId="8" fillId="0" fontId="12" numFmtId="0" xfId="0" applyAlignment="1" applyBorder="1" applyFont="1">
      <alignment horizontal="center" readingOrder="0" shrinkToFit="0" wrapText="0"/>
    </xf>
    <xf borderId="2" fillId="0" fontId="12" numFmtId="0" xfId="0" applyAlignment="1" applyBorder="1" applyFont="1">
      <alignment horizontal="center" readingOrder="0" shrinkToFit="0" wrapText="0"/>
    </xf>
    <xf borderId="3" fillId="0" fontId="12" numFmtId="0" xfId="0" applyAlignment="1" applyBorder="1" applyFont="1">
      <alignment horizontal="center" readingOrder="0" shrinkToFit="0" wrapText="0"/>
    </xf>
    <xf borderId="8" fillId="0" fontId="11" numFmtId="0" xfId="0" applyAlignment="1" applyBorder="1" applyFont="1">
      <alignment horizontal="center" readingOrder="0" shrinkToFit="0" vertical="center" wrapText="1"/>
    </xf>
    <xf borderId="8" fillId="0" fontId="11" numFmtId="174" xfId="0" applyAlignment="1" applyBorder="1" applyFont="1" applyNumberFormat="1">
      <alignment horizontal="center" readingOrder="0" shrinkToFit="0" vertical="center" wrapText="1"/>
    </xf>
    <xf borderId="1" fillId="9" fontId="13" numFmtId="0" xfId="0" applyAlignment="1" applyBorder="1" applyFill="1" applyFont="1">
      <alignment horizontal="left" readingOrder="0" shrinkToFit="0" wrapText="0"/>
    </xf>
    <xf borderId="2" fillId="0" fontId="5" numFmtId="0" xfId="0" applyBorder="1" applyFont="1"/>
    <xf borderId="3" fillId="0" fontId="5" numFmtId="0" xfId="0" applyBorder="1" applyFont="1"/>
    <xf borderId="8" fillId="0" fontId="14" numFmtId="173" xfId="0" applyAlignment="1" applyBorder="1" applyFont="1" applyNumberFormat="1">
      <alignment horizontal="center" readingOrder="0" shrinkToFit="0" vertical="center" wrapText="1"/>
    </xf>
    <xf borderId="0" fillId="0" fontId="1" numFmtId="173" xfId="0" applyAlignment="1" applyFont="1" applyNumberFormat="1">
      <alignment horizontal="center"/>
    </xf>
    <xf borderId="8" fillId="0" fontId="14" numFmtId="175" xfId="0" applyAlignment="1" applyBorder="1" applyFont="1" applyNumberFormat="1">
      <alignment horizontal="center" readingOrder="0" shrinkToFit="0" vertical="center" wrapText="1"/>
    </xf>
    <xf borderId="8" fillId="0" fontId="14" numFmtId="175" xfId="0" applyAlignment="1" applyBorder="1" applyFont="1" applyNumberFormat="1">
      <alignment shrinkToFit="0" vertical="center" wrapText="1"/>
    </xf>
    <xf borderId="10" fillId="0" fontId="15" numFmtId="0" xfId="0" applyAlignment="1" applyBorder="1" applyFont="1">
      <alignment horizontal="center" readingOrder="0" shrinkToFit="0" wrapText="0"/>
    </xf>
    <xf borderId="11" fillId="0" fontId="15" numFmtId="172" xfId="0" applyAlignment="1" applyBorder="1" applyFont="1" applyNumberFormat="1">
      <alignment horizontal="center" readingOrder="0" shrinkToFit="0" wrapText="0"/>
    </xf>
    <xf borderId="12" fillId="0" fontId="15" numFmtId="0" xfId="0" applyAlignment="1" applyBorder="1" applyFont="1">
      <alignment horizontal="left" readingOrder="0" shrinkToFit="0" wrapText="0"/>
    </xf>
    <xf borderId="12" fillId="0" fontId="15" numFmtId="169" xfId="0" applyAlignment="1" applyBorder="1" applyFont="1" applyNumberFormat="1">
      <alignment horizontal="center" readingOrder="0" shrinkToFit="0" wrapText="0"/>
    </xf>
    <xf borderId="12" fillId="0" fontId="15" numFmtId="169" xfId="0" applyAlignment="1" applyBorder="1" applyFont="1" applyNumberFormat="1">
      <alignment shrinkToFit="0" wrapText="0"/>
    </xf>
    <xf borderId="12" fillId="0" fontId="15" numFmtId="0" xfId="0" applyAlignment="1" applyBorder="1" applyFont="1">
      <alignment shrinkToFit="0" wrapText="0"/>
    </xf>
    <xf borderId="12" fillId="0" fontId="15" numFmtId="169" xfId="0" applyAlignment="1" applyBorder="1" applyFont="1" applyNumberFormat="1">
      <alignment horizontal="center" shrinkToFit="0" wrapText="0"/>
    </xf>
    <xf borderId="11" fillId="0" fontId="15" numFmtId="176" xfId="0" applyAlignment="1" applyBorder="1" applyFont="1" applyNumberFormat="1">
      <alignment horizontal="center" readingOrder="0" shrinkToFit="0" wrapText="0"/>
    </xf>
    <xf borderId="12" fillId="0" fontId="15" numFmtId="0" xfId="0" applyAlignment="1" applyBorder="1" applyFont="1">
      <alignment horizontal="left" shrinkToFit="0" wrapText="0"/>
    </xf>
    <xf borderId="12" fillId="0" fontId="15" numFmtId="0" xfId="0" applyAlignment="1" applyBorder="1" applyFont="1">
      <alignment horizontal="center" shrinkToFit="0" wrapText="0"/>
    </xf>
    <xf borderId="0" fillId="0" fontId="15" numFmtId="0" xfId="0" applyAlignment="1" applyFont="1">
      <alignment horizontal="center" readingOrder="0" shrinkToFit="0" wrapText="0"/>
    </xf>
    <xf borderId="0" fillId="0" fontId="15" numFmtId="176" xfId="0" applyAlignment="1" applyFont="1" applyNumberFormat="1">
      <alignment horizontal="center" readingOrder="0" shrinkToFit="0" wrapText="0"/>
    </xf>
    <xf borderId="0" fillId="0" fontId="15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wrapText="0"/>
    </xf>
    <xf borderId="0" fillId="0" fontId="15" numFmtId="169" xfId="0" applyAlignment="1" applyFont="1" applyNumberFormat="1">
      <alignment horizontal="center" readingOrder="0" shrinkToFit="0" wrapText="0"/>
    </xf>
    <xf borderId="0" fillId="0" fontId="15" numFmtId="0" xfId="0" applyAlignment="1" applyFont="1">
      <alignment shrinkToFit="0" wrapText="0"/>
    </xf>
    <xf borderId="0" fillId="0" fontId="16" numFmtId="0" xfId="0" applyAlignment="1" applyFont="1">
      <alignment readingOrder="0" shrinkToFit="0" vertical="center" wrapText="1"/>
    </xf>
    <xf borderId="0" fillId="0" fontId="16" numFmtId="177" xfId="0" applyAlignment="1" applyFont="1" applyNumberFormat="1">
      <alignment readingOrder="0" shrinkToFit="0" vertical="center" wrapText="1"/>
    </xf>
    <xf borderId="0" fillId="0" fontId="16" numFmtId="170" xfId="0" applyAlignment="1" applyFont="1" applyNumberFormat="1">
      <alignment readingOrder="0" shrinkToFit="0" vertical="center" wrapText="1"/>
    </xf>
    <xf borderId="0" fillId="0" fontId="17" numFmtId="169" xfId="0" applyAlignment="1" applyFont="1" applyNumberFormat="1">
      <alignment horizontal="center" readingOrder="0" vertical="center"/>
    </xf>
    <xf borderId="8" fillId="0" fontId="17" numFmtId="169" xfId="0" applyAlignment="1" applyBorder="1" applyFont="1" applyNumberFormat="1">
      <alignment horizontal="center" readingOrder="0" vertical="center"/>
    </xf>
    <xf borderId="8" fillId="0" fontId="1" numFmtId="169" xfId="0" applyAlignment="1" applyBorder="1" applyFont="1" applyNumberFormat="1">
      <alignment readingOrder="0" vertical="center"/>
    </xf>
    <xf borderId="0" fillId="0" fontId="1" numFmtId="4" xfId="0" applyAlignment="1" applyFont="1" applyNumberFormat="1">
      <alignment vertical="center"/>
    </xf>
    <xf borderId="0" fillId="0" fontId="1" numFmtId="178" xfId="0" applyAlignment="1" applyFont="1" applyNumberFormat="1">
      <alignment vertical="center"/>
    </xf>
    <xf borderId="0" fillId="0" fontId="16" numFmtId="0" xfId="0" applyAlignment="1" applyFont="1">
      <alignment horizontal="center" readingOrder="0" shrinkToFit="0" vertical="center" wrapText="1"/>
    </xf>
    <xf borderId="0" fillId="0" fontId="17" numFmtId="0" xfId="0" applyAlignment="1" applyFont="1">
      <alignment horizontal="center" readingOrder="0" vertical="center"/>
    </xf>
    <xf borderId="8" fillId="0" fontId="17" numFmtId="0" xfId="0" applyAlignment="1" applyBorder="1" applyFont="1">
      <alignment horizontal="center" readingOrder="0" vertical="center"/>
    </xf>
    <xf borderId="8" fillId="0" fontId="17" numFmtId="179" xfId="0" applyAlignment="1" applyBorder="1" applyFont="1" applyNumberFormat="1">
      <alignment horizontal="center" readingOrder="0" vertical="center"/>
    </xf>
    <xf borderId="8" fillId="0" fontId="17" numFmtId="4" xfId="0" applyAlignment="1" applyBorder="1" applyFont="1" applyNumberFormat="1">
      <alignment horizontal="center" readingOrder="0" vertical="center"/>
    </xf>
    <xf borderId="8" fillId="0" fontId="1" numFmtId="4" xfId="0" applyAlignment="1" applyBorder="1" applyFont="1" applyNumberFormat="1">
      <alignment readingOrder="0" vertical="center"/>
    </xf>
    <xf borderId="0" fillId="0" fontId="18" numFmtId="0" xfId="0" applyAlignment="1" applyFont="1">
      <alignment horizontal="center" readingOrder="0" shrinkToFit="0" vertical="center" wrapText="0"/>
    </xf>
    <xf borderId="0" fillId="0" fontId="16" numFmtId="179" xfId="0" applyAlignment="1" applyFont="1" applyNumberFormat="1">
      <alignment horizontal="center" readingOrder="0" shrinkToFit="0" vertical="center" wrapText="1"/>
    </xf>
    <xf borderId="0" fillId="0" fontId="16" numFmtId="4" xfId="0" applyAlignment="1" applyFont="1" applyNumberFormat="1">
      <alignment horizontal="center" readingOrder="0" shrinkToFit="0" vertical="center" wrapText="1"/>
    </xf>
    <xf borderId="0" fillId="0" fontId="16" numFmtId="178" xfId="0" applyAlignment="1" applyFont="1" applyNumberFormat="1">
      <alignment horizontal="center" readingOrder="0" shrinkToFit="0" vertical="center" wrapText="1"/>
    </xf>
    <xf borderId="8" fillId="0" fontId="16" numFmtId="0" xfId="0" applyAlignment="1" applyBorder="1" applyFont="1">
      <alignment horizontal="center" readingOrder="0" shrinkToFit="0" vertical="center" wrapText="1"/>
    </xf>
    <xf borderId="8" fillId="0" fontId="16" numFmtId="177" xfId="0" applyAlignment="1" applyBorder="1" applyFont="1" applyNumberFormat="1">
      <alignment horizontal="center" readingOrder="0" shrinkToFit="0" vertical="center" wrapText="1"/>
    </xf>
    <xf borderId="8" fillId="0" fontId="16" numFmtId="179" xfId="0" applyAlignment="1" applyBorder="1" applyFont="1" applyNumberFormat="1">
      <alignment horizontal="center" readingOrder="0" shrinkToFit="0" vertical="center" wrapText="1"/>
    </xf>
    <xf borderId="8" fillId="0" fontId="16" numFmtId="4" xfId="0" applyAlignment="1" applyBorder="1" applyFont="1" applyNumberFormat="1">
      <alignment horizontal="center" readingOrder="0" shrinkToFit="0" vertical="center" wrapText="1"/>
    </xf>
    <xf borderId="8" fillId="0" fontId="16" numFmtId="178" xfId="0" applyAlignment="1" applyBorder="1" applyFont="1" applyNumberFormat="1">
      <alignment horizontal="center" readingOrder="0" shrinkToFit="0" vertical="center" wrapText="1"/>
    </xf>
    <xf borderId="8" fillId="0" fontId="17" numFmtId="0" xfId="0" applyAlignment="1" applyBorder="1" applyFont="1">
      <alignment readingOrder="0" shrinkToFit="0" vertical="center" wrapText="1"/>
    </xf>
    <xf borderId="8" fillId="0" fontId="17" numFmtId="177" xfId="0" applyAlignment="1" applyBorder="1" applyFont="1" applyNumberFormat="1">
      <alignment readingOrder="0" shrinkToFit="0" vertical="center" wrapText="1"/>
    </xf>
    <xf borderId="8" fillId="0" fontId="17" numFmtId="0" xfId="0" applyAlignment="1" applyBorder="1" applyFont="1">
      <alignment horizontal="center" readingOrder="0" shrinkToFit="0" vertical="center" wrapText="1"/>
    </xf>
    <xf borderId="8" fillId="0" fontId="17" numFmtId="173" xfId="0" applyAlignment="1" applyBorder="1" applyFont="1" applyNumberFormat="1">
      <alignment horizontal="center" readingOrder="0" shrinkToFit="0" vertical="center" wrapText="1"/>
    </xf>
    <xf borderId="8" fillId="0" fontId="19" numFmtId="178" xfId="0" applyAlignment="1" applyBorder="1" applyFont="1" applyNumberFormat="1">
      <alignment horizontal="center" readingOrder="0" shrinkToFit="0" vertical="center" wrapText="1"/>
    </xf>
    <xf borderId="8" fillId="0" fontId="19" numFmtId="178" xfId="0" applyAlignment="1" applyBorder="1" applyFont="1" applyNumberFormat="1">
      <alignment horizontal="center" shrinkToFit="0" vertical="center" wrapText="1"/>
    </xf>
    <xf borderId="8" fillId="3" fontId="20" numFmtId="178" xfId="0" applyAlignment="1" applyBorder="1" applyFont="1" applyNumberFormat="1">
      <alignment vertical="center"/>
    </xf>
    <xf borderId="8" fillId="10" fontId="17" numFmtId="178" xfId="0" applyAlignment="1" applyBorder="1" applyFill="1" applyFont="1" applyNumberFormat="1">
      <alignment horizontal="center" readingOrder="0" shrinkToFit="0" vertical="center" wrapText="1"/>
    </xf>
    <xf borderId="8" fillId="10" fontId="17" numFmtId="178" xfId="0" applyAlignment="1" applyBorder="1" applyFont="1" applyNumberFormat="1">
      <alignment horizontal="center" shrinkToFit="0" vertical="center" wrapText="1"/>
    </xf>
    <xf borderId="8" fillId="3" fontId="20" numFmtId="178" xfId="0" applyAlignment="1" applyBorder="1" applyFont="1" applyNumberFormat="1">
      <alignment readingOrder="0" vertical="center"/>
    </xf>
    <xf borderId="0" fillId="0" fontId="1" numFmtId="0" xfId="0" applyAlignment="1" applyFont="1">
      <alignment horizontal="right" readingOrder="0"/>
    </xf>
    <xf borderId="0" fillId="0" fontId="1" numFmtId="49" xfId="0" applyAlignment="1" applyFont="1" applyNumberFormat="1">
      <alignment horizontal="right" readingOrder="0"/>
    </xf>
    <xf borderId="0" fillId="0" fontId="2" numFmtId="0" xfId="0" applyAlignment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0" fontId="1" numFmtId="172" xfId="0" applyAlignment="1" applyFont="1" applyNumberFormat="1">
      <alignment shrinkToFit="0" wrapText="1"/>
    </xf>
    <xf borderId="0" fillId="0" fontId="21" numFmtId="180" xfId="0" applyAlignment="1" applyFont="1" applyNumberFormat="1">
      <alignment shrinkToFit="0" textRotation="0" wrapText="1"/>
    </xf>
    <xf borderId="0" fillId="0" fontId="21" numFmtId="0" xfId="0" applyAlignment="1" applyFont="1">
      <alignment shrinkToFit="0" textRotation="0" wrapText="1"/>
    </xf>
    <xf borderId="0" fillId="0" fontId="22" numFmtId="0" xfId="0" applyAlignment="1" applyFont="1">
      <alignment horizontal="center" readingOrder="0"/>
    </xf>
    <xf borderId="0" fillId="0" fontId="22" numFmtId="49" xfId="0" applyAlignment="1" applyFont="1" applyNumberFormat="1">
      <alignment horizontal="right" readingOrder="0"/>
    </xf>
    <xf borderId="0" fillId="0" fontId="22" numFmtId="0" xfId="0" applyAlignment="1" applyFont="1">
      <alignment readingOrder="0"/>
    </xf>
    <xf borderId="0" fillId="0" fontId="22" numFmtId="0" xfId="0" applyAlignment="1" applyFont="1">
      <alignment horizontal="center" readingOrder="0" shrinkToFit="0" wrapText="1"/>
    </xf>
    <xf borderId="1" fillId="11" fontId="22" numFmtId="0" xfId="0" applyAlignment="1" applyBorder="1" applyFill="1" applyFont="1">
      <alignment horizontal="center" readingOrder="0" shrinkToFit="0" wrapText="1"/>
    </xf>
    <xf borderId="1" fillId="12" fontId="22" numFmtId="0" xfId="0" applyAlignment="1" applyBorder="1" applyFill="1" applyFont="1">
      <alignment horizontal="center" readingOrder="0" shrinkToFit="0" textRotation="0" wrapText="1"/>
    </xf>
    <xf borderId="8" fillId="0" fontId="22" numFmtId="0" xfId="0" applyAlignment="1" applyBorder="1" applyFont="1">
      <alignment horizontal="center" readingOrder="0"/>
    </xf>
    <xf borderId="8" fillId="0" fontId="22" numFmtId="49" xfId="0" applyAlignment="1" applyBorder="1" applyFont="1" applyNumberFormat="1">
      <alignment horizontal="right" readingOrder="0"/>
    </xf>
    <xf borderId="8" fillId="0" fontId="22" numFmtId="0" xfId="0" applyAlignment="1" applyBorder="1" applyFont="1">
      <alignment readingOrder="0"/>
    </xf>
    <xf borderId="8" fillId="0" fontId="22" numFmtId="0" xfId="0" applyAlignment="1" applyBorder="1" applyFont="1">
      <alignment horizontal="center" readingOrder="0" shrinkToFit="0" wrapText="1"/>
    </xf>
    <xf borderId="8" fillId="11" fontId="22" numFmtId="0" xfId="0" applyAlignment="1" applyBorder="1" applyFont="1">
      <alignment horizontal="center" readingOrder="0" shrinkToFit="0" wrapText="1"/>
    </xf>
    <xf borderId="8" fillId="12" fontId="22" numFmtId="180" xfId="0" applyAlignment="1" applyBorder="1" applyFont="1" applyNumberFormat="1">
      <alignment readingOrder="0" shrinkToFit="0" textRotation="0" wrapText="1"/>
    </xf>
    <xf quotePrefix="1" borderId="8" fillId="12" fontId="22" numFmtId="0" xfId="0" applyAlignment="1" applyBorder="1" applyFont="1">
      <alignment horizontal="center" readingOrder="0" shrinkToFit="0" wrapText="1"/>
    </xf>
    <xf borderId="8" fillId="12" fontId="22" numFmtId="0" xfId="0" applyAlignment="1" applyBorder="1" applyFont="1">
      <alignment horizontal="center" readingOrder="0" shrinkToFit="0" wrapText="1"/>
    </xf>
    <xf borderId="8" fillId="0" fontId="1" numFmtId="0" xfId="0" applyAlignment="1" applyBorder="1" applyFont="1">
      <alignment horizontal="right" readingOrder="0"/>
    </xf>
    <xf borderId="8" fillId="0" fontId="1" numFmtId="49" xfId="0" applyAlignment="1" applyBorder="1" applyFont="1" applyNumberFormat="1">
      <alignment horizontal="right" readingOrder="0"/>
    </xf>
    <xf borderId="8" fillId="0" fontId="17" numFmtId="181" xfId="0" applyAlignment="1" applyBorder="1" applyFont="1" applyNumberFormat="1">
      <alignment readingOrder="0" shrinkToFit="0" wrapText="1"/>
    </xf>
    <xf borderId="8" fillId="11" fontId="17" numFmtId="181" xfId="0" applyAlignment="1" applyBorder="1" applyFont="1" applyNumberFormat="1">
      <alignment readingOrder="0" shrinkToFit="0" wrapText="1"/>
    </xf>
    <xf borderId="8" fillId="12" fontId="17" numFmtId="180" xfId="0" applyAlignment="1" applyBorder="1" applyFont="1" applyNumberFormat="1">
      <alignment readingOrder="0" shrinkToFit="0" textRotation="0" wrapText="1"/>
    </xf>
    <xf borderId="8" fillId="12" fontId="17" numFmtId="181" xfId="0" applyAlignment="1" applyBorder="1" applyFont="1" applyNumberFormat="1">
      <alignment shrinkToFit="0" textRotation="0" wrapText="1"/>
    </xf>
    <xf borderId="8" fillId="12" fontId="17" numFmtId="181" xfId="0" applyAlignment="1" applyBorder="1" applyFont="1" applyNumberFormat="1">
      <alignment readingOrder="0" shrinkToFit="0" textRotation="0" wrapText="1"/>
    </xf>
    <xf borderId="8" fillId="11" fontId="17" numFmtId="181" xfId="0" applyAlignment="1" applyBorder="1" applyFont="1" applyNumberFormat="1">
      <alignment shrinkToFit="0" wrapText="1"/>
    </xf>
    <xf borderId="8" fillId="13" fontId="1" numFmtId="0" xfId="0" applyAlignment="1" applyBorder="1" applyFill="1" applyFont="1">
      <alignment horizontal="right" readingOrder="0"/>
    </xf>
    <xf borderId="8" fillId="13" fontId="1" numFmtId="49" xfId="0" applyAlignment="1" applyBorder="1" applyFont="1" applyNumberFormat="1">
      <alignment horizontal="right" readingOrder="0"/>
    </xf>
    <xf borderId="8" fillId="13" fontId="1" numFmtId="0" xfId="0" applyAlignment="1" applyBorder="1" applyFont="1">
      <alignment readingOrder="0"/>
    </xf>
    <xf borderId="8" fillId="13" fontId="17" numFmtId="181" xfId="0" applyAlignment="1" applyBorder="1" applyFont="1" applyNumberFormat="1">
      <alignment readingOrder="0" shrinkToFit="0" wrapText="1"/>
    </xf>
    <xf borderId="8" fillId="13" fontId="17" numFmtId="181" xfId="0" applyAlignment="1" applyBorder="1" applyFont="1" applyNumberFormat="1">
      <alignment shrinkToFit="0" wrapText="1"/>
    </xf>
    <xf borderId="8" fillId="13" fontId="17" numFmtId="180" xfId="0" applyAlignment="1" applyBorder="1" applyFont="1" applyNumberFormat="1">
      <alignment readingOrder="0" shrinkToFit="0" textRotation="0" wrapText="1"/>
    </xf>
    <xf borderId="8" fillId="13" fontId="17" numFmtId="181" xfId="0" applyAlignment="1" applyBorder="1" applyFont="1" applyNumberFormat="1">
      <alignment shrinkToFit="0" textRotation="0" wrapText="1"/>
    </xf>
    <xf borderId="8" fillId="13" fontId="17" numFmtId="181" xfId="0" applyAlignment="1" applyBorder="1" applyFont="1" applyNumberFormat="1">
      <alignment readingOrder="0" shrinkToFit="0" textRotation="0" wrapText="1"/>
    </xf>
    <xf borderId="8" fillId="12" fontId="17" numFmtId="0" xfId="0" applyAlignment="1" applyBorder="1" applyFont="1">
      <alignment readingOrder="0" shrinkToFit="0" textRotation="0" wrapText="1"/>
    </xf>
    <xf borderId="8" fillId="0" fontId="1" numFmtId="0" xfId="0" applyAlignment="1" applyBorder="1" applyFont="1">
      <alignment horizontal="right"/>
    </xf>
    <xf borderId="8" fillId="0" fontId="1" numFmtId="49" xfId="0" applyAlignment="1" applyBorder="1" applyFont="1" applyNumberFormat="1">
      <alignment horizontal="right"/>
    </xf>
    <xf borderId="8" fillId="0" fontId="1" numFmtId="0" xfId="0" applyBorder="1" applyFont="1"/>
    <xf borderId="8" fillId="0" fontId="1" numFmtId="168" xfId="0" applyAlignment="1" applyBorder="1" applyFont="1" applyNumberFormat="1">
      <alignment shrinkToFit="0" wrapText="1"/>
    </xf>
    <xf borderId="8" fillId="0" fontId="1" numFmtId="168" xfId="0" applyAlignment="1" applyBorder="1" applyFont="1" applyNumberFormat="1">
      <alignment readingOrder="0" shrinkToFit="0" wrapText="1"/>
    </xf>
    <xf borderId="8" fillId="0" fontId="23" numFmtId="180" xfId="0" applyAlignment="1" applyBorder="1" applyFont="1" applyNumberFormat="1">
      <alignment shrinkToFit="0" textRotation="0" wrapText="1"/>
    </xf>
    <xf borderId="8" fillId="0" fontId="23" numFmtId="167" xfId="0" applyAlignment="1" applyBorder="1" applyFont="1" applyNumberFormat="1">
      <alignment shrinkToFit="0" textRotation="0" wrapText="1"/>
    </xf>
    <xf borderId="0" fillId="0" fontId="16" numFmtId="182" xfId="0" applyAlignment="1" applyFont="1" applyNumberFormat="1">
      <alignment readingOrder="0" shrinkToFit="0" vertical="center" wrapText="1"/>
    </xf>
    <xf borderId="0" fillId="0" fontId="1" numFmtId="183" xfId="0" applyAlignment="1" applyFont="1" applyNumberFormat="1">
      <alignment vertical="center"/>
    </xf>
    <xf borderId="0" fillId="0" fontId="16" numFmtId="183" xfId="0" applyAlignment="1" applyFont="1" applyNumberFormat="1">
      <alignment horizontal="center" readingOrder="0" shrinkToFit="0" vertical="center" wrapText="1"/>
    </xf>
    <xf borderId="8" fillId="0" fontId="16" numFmtId="182" xfId="0" applyAlignment="1" applyBorder="1" applyFont="1" applyNumberFormat="1">
      <alignment horizontal="center" readingOrder="0" shrinkToFit="0" vertical="center" wrapText="1"/>
    </xf>
    <xf borderId="8" fillId="0" fontId="16" numFmtId="183" xfId="0" applyAlignment="1" applyBorder="1" applyFont="1" applyNumberFormat="1">
      <alignment horizontal="center" readingOrder="0" shrinkToFit="0" vertical="center" wrapText="1"/>
    </xf>
    <xf borderId="8" fillId="0" fontId="17" numFmtId="182" xfId="0" applyAlignment="1" applyBorder="1" applyFont="1" applyNumberFormat="1">
      <alignment readingOrder="0" shrinkToFit="0" vertical="center" wrapText="1"/>
    </xf>
    <xf borderId="8" fillId="0" fontId="19" numFmtId="184" xfId="0" applyAlignment="1" applyBorder="1" applyFont="1" applyNumberFormat="1">
      <alignment horizontal="center" readingOrder="0" shrinkToFit="0" vertical="center" wrapText="1"/>
    </xf>
    <xf borderId="8" fillId="0" fontId="19" numFmtId="179" xfId="0" applyAlignment="1" applyBorder="1" applyFont="1" applyNumberFormat="1">
      <alignment horizontal="center" readingOrder="0" shrinkToFit="0" vertical="center" wrapText="1"/>
    </xf>
    <xf borderId="8" fillId="0" fontId="19" numFmtId="184" xfId="0" applyAlignment="1" applyBorder="1" applyFont="1" applyNumberFormat="1">
      <alignment horizontal="center" shrinkToFit="0" vertical="center" wrapText="1"/>
    </xf>
    <xf borderId="8" fillId="3" fontId="24" numFmtId="184" xfId="0" applyBorder="1" applyFont="1" applyNumberFormat="1"/>
    <xf borderId="8" fillId="10" fontId="25" numFmtId="185" xfId="0" applyAlignment="1" applyBorder="1" applyFont="1" applyNumberFormat="1">
      <alignment horizontal="center" shrinkToFit="0" vertical="center" wrapText="1"/>
    </xf>
    <xf borderId="0" fillId="14" fontId="26" numFmtId="0" xfId="0" applyAlignment="1" applyFill="1" applyFont="1">
      <alignment shrinkToFit="0" wrapText="1"/>
    </xf>
    <xf borderId="8" fillId="14" fontId="26" numFmtId="0" xfId="0" applyAlignment="1" applyBorder="1" applyFont="1">
      <alignment shrinkToFit="0" wrapText="1"/>
    </xf>
    <xf borderId="8" fillId="14" fontId="26" numFmtId="182" xfId="0" applyAlignment="1" applyBorder="1" applyFont="1" applyNumberFormat="1">
      <alignment horizontal="right" shrinkToFit="0" wrapText="1"/>
    </xf>
    <xf borderId="8" fillId="15" fontId="26" numFmtId="0" xfId="0" applyAlignment="1" applyBorder="1" applyFill="1" applyFont="1">
      <alignment shrinkToFit="0" wrapText="1"/>
    </xf>
    <xf borderId="8" fillId="15" fontId="26" numFmtId="182" xfId="0" applyAlignment="1" applyBorder="1" applyFont="1" applyNumberFormat="1">
      <alignment horizontal="right" shrinkToFit="0" wrapText="1"/>
    </xf>
    <xf borderId="8" fillId="0" fontId="26" numFmtId="0" xfId="0" applyAlignment="1" applyBorder="1" applyFont="1">
      <alignment shrinkToFit="0" wrapText="1"/>
    </xf>
    <xf borderId="8" fillId="0" fontId="26" numFmtId="182" xfId="0" applyAlignment="1" applyBorder="1" applyFont="1" applyNumberFormat="1">
      <alignment horizontal="right" shrinkToFit="0" wrapText="1"/>
    </xf>
    <xf borderId="8" fillId="0" fontId="17" numFmtId="182" xfId="0" applyAlignment="1" applyBorder="1" applyFont="1" applyNumberFormat="1">
      <alignment horizontal="right" readingOrder="0" shrinkToFit="0" vertical="center" wrapText="1"/>
    </xf>
  </cellXfs>
  <cellStyles count="1">
    <cellStyle xfId="0" name="Normal" builtinId="0"/>
  </cellStyles>
  <dxfs count="12">
    <dxf>
      <font/>
      <fill>
        <patternFill patternType="solid">
          <fgColor rgb="FFF6B26B"/>
          <bgColor rgb="FFF6B26B"/>
        </patternFill>
      </fill>
      <border/>
    </dxf>
    <dxf>
      <font/>
      <fill>
        <patternFill patternType="solid">
          <fgColor theme="8"/>
          <bgColor theme="8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  <dxf>
      <font/>
      <fill>
        <patternFill patternType="solid">
          <fgColor rgb="FF9900FF"/>
          <bgColor rgb="FF9900FF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6.0" ySplit="1.0" topLeftCell="G2" activePane="bottomRight" state="frozen"/>
      <selection activeCell="G1" sqref="G1" pane="topRight"/>
      <selection activeCell="A2" sqref="A2" pane="bottomLeft"/>
      <selection activeCell="G2" sqref="G2" pane="bottomRight"/>
    </sheetView>
  </sheetViews>
  <sheetFormatPr customHeight="1" defaultColWidth="12.63" defaultRowHeight="15.75"/>
  <cols>
    <col customWidth="1" min="1" max="1" width="4.13"/>
    <col customWidth="1" min="2" max="2" width="7.38"/>
    <col customWidth="1" min="3" max="3" width="18.88"/>
    <col customWidth="1" hidden="1" min="4" max="4" width="8.5"/>
    <col customWidth="1" hidden="1" min="5" max="5" width="7.13"/>
    <col customWidth="1" min="6" max="6" width="6.63"/>
    <col customWidth="1" min="7" max="37" width="3.63"/>
    <col customWidth="1" min="38" max="38" width="6.13"/>
    <col customWidth="1" min="39" max="55" width="6.63"/>
    <col customWidth="1" min="56" max="56" width="8.75"/>
    <col customWidth="1" hidden="1" min="57" max="57" width="6.13"/>
    <col customWidth="1" hidden="1" min="58" max="150" width="2.63"/>
    <col customWidth="1" hidden="1" min="151" max="152" width="6.13"/>
  </cols>
  <sheetData>
    <row r="1">
      <c r="A1" s="1"/>
      <c r="B1" s="2"/>
      <c r="C1" s="1"/>
      <c r="D1" s="1"/>
      <c r="E1" s="1"/>
      <c r="F1" s="1"/>
      <c r="G1" s="3" t="s">
        <v>0</v>
      </c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4"/>
      <c r="EV1" s="4"/>
    </row>
    <row r="2">
      <c r="A2" s="1"/>
      <c r="B2" s="2"/>
      <c r="C2" s="1"/>
      <c r="D2" s="1"/>
      <c r="E2" s="1"/>
      <c r="F2" s="1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4"/>
      <c r="EV2" s="4"/>
    </row>
    <row r="3" hidden="1">
      <c r="A3" s="6"/>
      <c r="B3" s="7"/>
      <c r="C3" s="6"/>
      <c r="D3" s="6"/>
      <c r="E3" s="6"/>
      <c r="F3" s="6" t="s">
        <v>1</v>
      </c>
      <c r="G3" s="8">
        <v>0.0</v>
      </c>
      <c r="H3" s="8">
        <v>0.0</v>
      </c>
      <c r="I3" s="8">
        <v>0.0</v>
      </c>
      <c r="J3" s="8">
        <v>0.0</v>
      </c>
      <c r="K3" s="6">
        <v>1.0</v>
      </c>
      <c r="L3" s="8">
        <v>0.0</v>
      </c>
      <c r="M3" s="6">
        <v>1.0</v>
      </c>
      <c r="N3" s="6">
        <v>0.0</v>
      </c>
      <c r="O3" s="6">
        <v>0.0</v>
      </c>
      <c r="P3" s="8">
        <v>0.0</v>
      </c>
      <c r="Q3" s="8">
        <v>0.0</v>
      </c>
      <c r="R3" s="8">
        <v>0.0</v>
      </c>
      <c r="S3" s="8">
        <v>0.0</v>
      </c>
      <c r="T3" s="8">
        <v>0.0</v>
      </c>
      <c r="U3" s="8">
        <v>0.0</v>
      </c>
      <c r="V3" s="8">
        <v>0.0</v>
      </c>
      <c r="W3" s="8">
        <v>0.0</v>
      </c>
      <c r="X3" s="8">
        <v>0.0</v>
      </c>
      <c r="Y3" s="8">
        <v>0.0</v>
      </c>
      <c r="Z3" s="8">
        <v>0.0</v>
      </c>
      <c r="AA3" s="8">
        <v>0.0</v>
      </c>
      <c r="AB3" s="8">
        <v>0.0</v>
      </c>
      <c r="AC3" s="8">
        <v>0.0</v>
      </c>
      <c r="AD3" s="8">
        <v>0.0</v>
      </c>
      <c r="AE3" s="8">
        <v>0.0</v>
      </c>
      <c r="AF3" s="8">
        <v>0.0</v>
      </c>
      <c r="AG3" s="8">
        <v>0.0</v>
      </c>
      <c r="AH3" s="8">
        <v>0.0</v>
      </c>
      <c r="AI3" s="8">
        <v>0.0</v>
      </c>
      <c r="AJ3" s="8">
        <v>0.0</v>
      </c>
      <c r="AK3" s="8">
        <v>0.0</v>
      </c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9"/>
      <c r="EV3" s="9"/>
    </row>
    <row r="4" hidden="1">
      <c r="A4" s="10"/>
      <c r="B4" s="11"/>
      <c r="C4" s="10"/>
      <c r="D4" s="10"/>
      <c r="E4" s="10"/>
      <c r="F4" s="10" t="s">
        <v>2</v>
      </c>
      <c r="G4" s="12">
        <v>0.0</v>
      </c>
      <c r="H4" s="12">
        <v>0.0</v>
      </c>
      <c r="I4" s="12">
        <v>0.0</v>
      </c>
      <c r="J4" s="12">
        <v>0.0</v>
      </c>
      <c r="K4" s="12">
        <v>0.0</v>
      </c>
      <c r="L4" s="12">
        <v>0.0</v>
      </c>
      <c r="M4" s="12">
        <v>0.0</v>
      </c>
      <c r="N4" s="12">
        <v>1.0</v>
      </c>
      <c r="O4" s="12">
        <v>1.0</v>
      </c>
      <c r="P4" s="12">
        <v>0.0</v>
      </c>
      <c r="Q4" s="12">
        <v>0.0</v>
      </c>
      <c r="R4" s="12">
        <v>0.0</v>
      </c>
      <c r="S4" s="12">
        <v>0.0</v>
      </c>
      <c r="T4" s="12">
        <v>0.0</v>
      </c>
      <c r="U4" s="12">
        <v>0.0</v>
      </c>
      <c r="V4" s="12">
        <v>0.0</v>
      </c>
      <c r="W4" s="12">
        <v>0.0</v>
      </c>
      <c r="X4" s="12">
        <v>0.0</v>
      </c>
      <c r="Y4" s="12">
        <v>0.0</v>
      </c>
      <c r="Z4" s="12">
        <v>0.0</v>
      </c>
      <c r="AA4" s="12">
        <v>0.0</v>
      </c>
      <c r="AB4" s="12">
        <v>0.0</v>
      </c>
      <c r="AC4" s="12">
        <v>0.0</v>
      </c>
      <c r="AD4" s="12">
        <v>0.0</v>
      </c>
      <c r="AE4" s="12">
        <v>0.0</v>
      </c>
      <c r="AF4" s="12">
        <v>0.0</v>
      </c>
      <c r="AG4" s="12">
        <v>0.0</v>
      </c>
      <c r="AH4" s="12">
        <v>0.0</v>
      </c>
      <c r="AI4" s="12">
        <v>0.0</v>
      </c>
      <c r="AJ4" s="12">
        <v>0.0</v>
      </c>
      <c r="AK4" s="12">
        <v>0.0</v>
      </c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3"/>
      <c r="EV4" s="13"/>
    </row>
    <row r="5" hidden="1">
      <c r="A5" s="14"/>
      <c r="B5" s="15"/>
      <c r="C5" s="14"/>
      <c r="D5" s="14"/>
      <c r="E5" s="14"/>
      <c r="F5" s="14" t="s">
        <v>3</v>
      </c>
      <c r="G5" s="16">
        <v>1.0</v>
      </c>
      <c r="H5" s="16">
        <v>1.0</v>
      </c>
      <c r="I5" s="16">
        <v>1.0</v>
      </c>
      <c r="J5" s="16">
        <v>1.0</v>
      </c>
      <c r="K5" s="16">
        <v>0.0</v>
      </c>
      <c r="L5" s="16">
        <v>0.0</v>
      </c>
      <c r="M5" s="16">
        <v>0.0</v>
      </c>
      <c r="N5" s="16">
        <v>0.0</v>
      </c>
      <c r="O5" s="16">
        <v>0.0</v>
      </c>
      <c r="P5" s="16">
        <v>1.0</v>
      </c>
      <c r="Q5" s="16">
        <v>1.0</v>
      </c>
      <c r="R5" s="16">
        <v>1.0</v>
      </c>
      <c r="S5" s="16">
        <v>1.0</v>
      </c>
      <c r="T5" s="16">
        <v>0.0</v>
      </c>
      <c r="U5" s="16">
        <v>1.0</v>
      </c>
      <c r="V5" s="16">
        <v>1.0</v>
      </c>
      <c r="W5" s="16">
        <v>1.0</v>
      </c>
      <c r="X5" s="16">
        <v>1.0</v>
      </c>
      <c r="Y5" s="16">
        <v>1.0</v>
      </c>
      <c r="Z5" s="16">
        <v>0.0</v>
      </c>
      <c r="AA5" s="16">
        <v>0.0</v>
      </c>
      <c r="AB5" s="16">
        <v>1.0</v>
      </c>
      <c r="AC5" s="16">
        <v>1.0</v>
      </c>
      <c r="AD5" s="16">
        <v>1.0</v>
      </c>
      <c r="AE5" s="16">
        <v>1.0</v>
      </c>
      <c r="AF5" s="16">
        <v>1.0</v>
      </c>
      <c r="AG5" s="16">
        <v>1.0</v>
      </c>
      <c r="AH5" s="16">
        <v>0.0</v>
      </c>
      <c r="AI5" s="16">
        <v>1.0</v>
      </c>
      <c r="AJ5" s="16">
        <v>1.0</v>
      </c>
      <c r="AK5" s="16">
        <v>1.0</v>
      </c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7"/>
      <c r="EV5" s="17"/>
    </row>
    <row r="6" ht="45.0" customHeight="1">
      <c r="A6" s="18" t="s">
        <v>4</v>
      </c>
      <c r="B6" s="19"/>
      <c r="C6" s="19"/>
      <c r="D6" s="19"/>
      <c r="E6" s="19"/>
      <c r="F6" s="20"/>
      <c r="G6" s="21">
        <v>44681.0</v>
      </c>
      <c r="H6" s="19"/>
      <c r="I6" s="19"/>
      <c r="J6" s="19"/>
      <c r="K6" s="19"/>
      <c r="L6" s="20"/>
      <c r="M6" s="22">
        <v>44691.0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20"/>
      <c r="AL6" s="23" t="s">
        <v>5</v>
      </c>
      <c r="AM6" s="24" t="s">
        <v>6</v>
      </c>
      <c r="AN6" s="25"/>
      <c r="AO6" s="25"/>
      <c r="AP6" s="25"/>
      <c r="AQ6" s="25"/>
      <c r="AR6" s="23" t="s">
        <v>7</v>
      </c>
      <c r="AS6" s="23" t="s">
        <v>8</v>
      </c>
      <c r="AT6" s="23" t="s">
        <v>9</v>
      </c>
      <c r="AU6" s="24" t="s">
        <v>10</v>
      </c>
      <c r="AV6" s="26"/>
      <c r="AW6" s="24" t="s">
        <v>11</v>
      </c>
      <c r="AX6" s="26"/>
      <c r="AY6" s="23" t="s">
        <v>12</v>
      </c>
      <c r="AZ6" s="23" t="s">
        <v>13</v>
      </c>
      <c r="BA6" s="23" t="s">
        <v>14</v>
      </c>
      <c r="BB6" s="23" t="s">
        <v>15</v>
      </c>
      <c r="BC6" s="23" t="s">
        <v>16</v>
      </c>
      <c r="BD6" s="23" t="s">
        <v>17</v>
      </c>
      <c r="BE6" s="23"/>
      <c r="BF6" s="18" t="s">
        <v>18</v>
      </c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20"/>
      <c r="CK6" s="18" t="s">
        <v>19</v>
      </c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20"/>
      <c r="DP6" s="27" t="s">
        <v>20</v>
      </c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6"/>
      <c r="EU6" s="24" t="s">
        <v>21</v>
      </c>
      <c r="EV6" s="26"/>
    </row>
    <row r="7">
      <c r="A7" s="28" t="s">
        <v>22</v>
      </c>
      <c r="B7" s="29" t="s">
        <v>23</v>
      </c>
      <c r="C7" s="28" t="s">
        <v>24</v>
      </c>
      <c r="D7" s="28" t="s">
        <v>25</v>
      </c>
      <c r="E7" s="28" t="s">
        <v>26</v>
      </c>
      <c r="F7" s="30" t="s">
        <v>27</v>
      </c>
      <c r="G7" s="31">
        <v>44677.0</v>
      </c>
      <c r="H7" s="31">
        <v>44678.0</v>
      </c>
      <c r="I7" s="31">
        <v>44679.0</v>
      </c>
      <c r="J7" s="31">
        <v>44680.0</v>
      </c>
      <c r="K7" s="31">
        <v>44681.0</v>
      </c>
      <c r="L7" s="31" t="s">
        <v>28</v>
      </c>
      <c r="M7" s="31">
        <v>44682.0</v>
      </c>
      <c r="N7" s="31">
        <v>44683.0</v>
      </c>
      <c r="O7" s="31">
        <v>44684.0</v>
      </c>
      <c r="P7" s="31">
        <v>44685.0</v>
      </c>
      <c r="Q7" s="31">
        <v>44686.0</v>
      </c>
      <c r="R7" s="31">
        <v>44687.0</v>
      </c>
      <c r="S7" s="31">
        <v>44688.0</v>
      </c>
      <c r="T7" s="31">
        <v>44689.0</v>
      </c>
      <c r="U7" s="31">
        <v>44690.0</v>
      </c>
      <c r="V7" s="31">
        <v>44691.0</v>
      </c>
      <c r="W7" s="31">
        <v>44692.0</v>
      </c>
      <c r="X7" s="31">
        <v>44693.0</v>
      </c>
      <c r="Y7" s="31">
        <v>44694.0</v>
      </c>
      <c r="Z7" s="31">
        <v>44695.0</v>
      </c>
      <c r="AA7" s="31">
        <v>44696.0</v>
      </c>
      <c r="AB7" s="31">
        <v>44697.0</v>
      </c>
      <c r="AC7" s="31">
        <v>44698.0</v>
      </c>
      <c r="AD7" s="31">
        <v>44699.0</v>
      </c>
      <c r="AE7" s="31">
        <v>44700.0</v>
      </c>
      <c r="AF7" s="31">
        <v>44701.0</v>
      </c>
      <c r="AG7" s="31">
        <v>44702.0</v>
      </c>
      <c r="AH7" s="31">
        <v>44703.0</v>
      </c>
      <c r="AI7" s="31">
        <v>44704.0</v>
      </c>
      <c r="AJ7" s="31">
        <v>44705.0</v>
      </c>
      <c r="AK7" s="31">
        <v>44706.0</v>
      </c>
      <c r="AL7" s="32"/>
      <c r="AM7" s="33" t="s">
        <v>29</v>
      </c>
      <c r="AN7" s="33" t="s">
        <v>30</v>
      </c>
      <c r="AO7" s="33" t="s">
        <v>31</v>
      </c>
      <c r="AP7" s="33" t="s">
        <v>32</v>
      </c>
      <c r="AQ7" s="33" t="s">
        <v>33</v>
      </c>
      <c r="AR7" s="32"/>
      <c r="AS7" s="32"/>
      <c r="AT7" s="32"/>
      <c r="AU7" s="33" t="s">
        <v>18</v>
      </c>
      <c r="AV7" s="33" t="s">
        <v>34</v>
      </c>
      <c r="AW7" s="33" t="s">
        <v>35</v>
      </c>
      <c r="AX7" s="33" t="s">
        <v>36</v>
      </c>
      <c r="AY7" s="32"/>
      <c r="AZ7" s="32"/>
      <c r="BA7" s="32"/>
      <c r="BB7" s="32"/>
      <c r="BC7" s="32"/>
      <c r="BD7" s="32"/>
      <c r="BE7" s="33"/>
      <c r="BF7" s="34">
        <v>44677.0</v>
      </c>
      <c r="BG7" s="34">
        <v>44678.0</v>
      </c>
      <c r="BH7" s="34">
        <v>44679.0</v>
      </c>
      <c r="BI7" s="34">
        <v>44680.0</v>
      </c>
      <c r="BJ7" s="34">
        <v>44681.0</v>
      </c>
      <c r="BK7" s="34" t="s">
        <v>28</v>
      </c>
      <c r="BL7" s="34">
        <v>44682.0</v>
      </c>
      <c r="BM7" s="34">
        <v>44683.0</v>
      </c>
      <c r="BN7" s="34">
        <v>44684.0</v>
      </c>
      <c r="BO7" s="34">
        <v>44685.0</v>
      </c>
      <c r="BP7" s="34">
        <v>44686.0</v>
      </c>
      <c r="BQ7" s="34">
        <v>44687.0</v>
      </c>
      <c r="BR7" s="34">
        <v>44688.0</v>
      </c>
      <c r="BS7" s="34">
        <v>44689.0</v>
      </c>
      <c r="BT7" s="34">
        <v>44690.0</v>
      </c>
      <c r="BU7" s="34">
        <v>44691.0</v>
      </c>
      <c r="BV7" s="34">
        <v>44692.0</v>
      </c>
      <c r="BW7" s="34">
        <v>44693.0</v>
      </c>
      <c r="BX7" s="34">
        <v>44694.0</v>
      </c>
      <c r="BY7" s="34">
        <v>44695.0</v>
      </c>
      <c r="BZ7" s="34">
        <v>44696.0</v>
      </c>
      <c r="CA7" s="34">
        <v>44697.0</v>
      </c>
      <c r="CB7" s="34">
        <v>44698.0</v>
      </c>
      <c r="CC7" s="34">
        <v>44699.0</v>
      </c>
      <c r="CD7" s="34">
        <v>44700.0</v>
      </c>
      <c r="CE7" s="34">
        <v>44701.0</v>
      </c>
      <c r="CF7" s="34">
        <v>44702.0</v>
      </c>
      <c r="CG7" s="34">
        <v>44703.0</v>
      </c>
      <c r="CH7" s="34">
        <v>44704.0</v>
      </c>
      <c r="CI7" s="34">
        <v>44705.0</v>
      </c>
      <c r="CJ7" s="34">
        <v>44706.0</v>
      </c>
      <c r="CK7" s="34">
        <v>44677.0</v>
      </c>
      <c r="CL7" s="34">
        <v>44678.0</v>
      </c>
      <c r="CM7" s="34">
        <v>44679.0</v>
      </c>
      <c r="CN7" s="34">
        <v>44680.0</v>
      </c>
      <c r="CO7" s="34">
        <v>44681.0</v>
      </c>
      <c r="CP7" s="34" t="s">
        <v>28</v>
      </c>
      <c r="CQ7" s="34">
        <v>44682.0</v>
      </c>
      <c r="CR7" s="34">
        <v>44683.0</v>
      </c>
      <c r="CS7" s="34">
        <v>44684.0</v>
      </c>
      <c r="CT7" s="34">
        <v>44685.0</v>
      </c>
      <c r="CU7" s="34">
        <v>44686.0</v>
      </c>
      <c r="CV7" s="34">
        <v>44687.0</v>
      </c>
      <c r="CW7" s="34">
        <v>44688.0</v>
      </c>
      <c r="CX7" s="34">
        <v>44689.0</v>
      </c>
      <c r="CY7" s="34">
        <v>44690.0</v>
      </c>
      <c r="CZ7" s="34">
        <v>44691.0</v>
      </c>
      <c r="DA7" s="34">
        <v>44692.0</v>
      </c>
      <c r="DB7" s="34">
        <v>44693.0</v>
      </c>
      <c r="DC7" s="34">
        <v>44694.0</v>
      </c>
      <c r="DD7" s="34">
        <v>44695.0</v>
      </c>
      <c r="DE7" s="34">
        <v>44696.0</v>
      </c>
      <c r="DF7" s="34">
        <v>44697.0</v>
      </c>
      <c r="DG7" s="34">
        <v>44698.0</v>
      </c>
      <c r="DH7" s="34">
        <v>44699.0</v>
      </c>
      <c r="DI7" s="34">
        <v>44700.0</v>
      </c>
      <c r="DJ7" s="34">
        <v>44701.0</v>
      </c>
      <c r="DK7" s="34">
        <v>44702.0</v>
      </c>
      <c r="DL7" s="34">
        <v>44703.0</v>
      </c>
      <c r="DM7" s="34">
        <v>44704.0</v>
      </c>
      <c r="DN7" s="34">
        <v>44705.0</v>
      </c>
      <c r="DO7" s="34">
        <v>44706.0</v>
      </c>
      <c r="DP7" s="34">
        <v>44677.0</v>
      </c>
      <c r="DQ7" s="34">
        <v>44678.0</v>
      </c>
      <c r="DR7" s="34">
        <v>44679.0</v>
      </c>
      <c r="DS7" s="34">
        <v>44680.0</v>
      </c>
      <c r="DT7" s="34">
        <v>44681.0</v>
      </c>
      <c r="DU7" s="34" t="s">
        <v>28</v>
      </c>
      <c r="DV7" s="34">
        <v>44682.0</v>
      </c>
      <c r="DW7" s="34">
        <v>44683.0</v>
      </c>
      <c r="DX7" s="34">
        <v>44684.0</v>
      </c>
      <c r="DY7" s="34">
        <v>44685.0</v>
      </c>
      <c r="DZ7" s="34">
        <v>44686.0</v>
      </c>
      <c r="EA7" s="34">
        <v>44687.0</v>
      </c>
      <c r="EB7" s="34">
        <v>44688.0</v>
      </c>
      <c r="EC7" s="34">
        <v>44689.0</v>
      </c>
      <c r="ED7" s="34">
        <v>44690.0</v>
      </c>
      <c r="EE7" s="34">
        <v>44691.0</v>
      </c>
      <c r="EF7" s="34">
        <v>44692.0</v>
      </c>
      <c r="EG7" s="34">
        <v>44693.0</v>
      </c>
      <c r="EH7" s="34">
        <v>44694.0</v>
      </c>
      <c r="EI7" s="34">
        <v>44695.0</v>
      </c>
      <c r="EJ7" s="34">
        <v>44696.0</v>
      </c>
      <c r="EK7" s="34">
        <v>44697.0</v>
      </c>
      <c r="EL7" s="34">
        <v>44698.0</v>
      </c>
      <c r="EM7" s="34">
        <v>44699.0</v>
      </c>
      <c r="EN7" s="34">
        <v>44700.0</v>
      </c>
      <c r="EO7" s="34">
        <v>44701.0</v>
      </c>
      <c r="EP7" s="34">
        <v>44702.0</v>
      </c>
      <c r="EQ7" s="34">
        <v>44703.0</v>
      </c>
      <c r="ER7" s="34">
        <v>44704.0</v>
      </c>
      <c r="ES7" s="34">
        <v>44705.0</v>
      </c>
      <c r="ET7" s="34">
        <v>44706.0</v>
      </c>
      <c r="EU7" s="33" t="s">
        <v>37</v>
      </c>
      <c r="EV7" s="33" t="s">
        <v>38</v>
      </c>
    </row>
    <row r="8">
      <c r="A8" s="35">
        <v>1.0</v>
      </c>
      <c r="B8" s="36" t="s">
        <v>39</v>
      </c>
      <c r="C8" s="35" t="s">
        <v>40</v>
      </c>
      <c r="D8" s="37"/>
      <c r="E8" s="37"/>
      <c r="F8" s="35" t="s">
        <v>41</v>
      </c>
      <c r="G8" s="38" t="s">
        <v>42</v>
      </c>
      <c r="H8" s="38">
        <v>1.0</v>
      </c>
      <c r="I8" s="38">
        <v>1.0</v>
      </c>
      <c r="J8" s="38">
        <v>1.0</v>
      </c>
      <c r="K8" s="38" t="s">
        <v>43</v>
      </c>
      <c r="L8" s="38" t="s">
        <v>28</v>
      </c>
      <c r="M8" s="38" t="s">
        <v>43</v>
      </c>
      <c r="N8" s="38">
        <v>0.0</v>
      </c>
      <c r="O8" s="38">
        <v>0.0</v>
      </c>
      <c r="P8" s="38">
        <v>1.0</v>
      </c>
      <c r="Q8" s="38">
        <v>1.0</v>
      </c>
      <c r="R8" s="38">
        <v>1.0</v>
      </c>
      <c r="S8" s="38">
        <v>1.0</v>
      </c>
      <c r="T8" s="38">
        <v>0.0</v>
      </c>
      <c r="U8" s="38">
        <v>1.0</v>
      </c>
      <c r="V8" s="38">
        <v>1.0</v>
      </c>
      <c r="W8" s="38">
        <v>1.0</v>
      </c>
      <c r="X8" s="38" t="s">
        <v>42</v>
      </c>
      <c r="Y8" s="38">
        <v>1.0</v>
      </c>
      <c r="Z8" s="38">
        <v>1.0</v>
      </c>
      <c r="AA8" s="38">
        <v>0.0</v>
      </c>
      <c r="AB8" s="38">
        <v>1.0</v>
      </c>
      <c r="AC8" s="38">
        <v>1.0</v>
      </c>
      <c r="AD8" s="38">
        <v>1.0</v>
      </c>
      <c r="AE8" s="38">
        <v>1.0</v>
      </c>
      <c r="AF8" s="38">
        <v>1.0</v>
      </c>
      <c r="AG8" s="38">
        <v>1.0</v>
      </c>
      <c r="AH8" s="38">
        <v>0.5</v>
      </c>
      <c r="AI8" s="38">
        <v>1.0</v>
      </c>
      <c r="AJ8" s="38">
        <v>1.0</v>
      </c>
      <c r="AK8" s="38">
        <v>1.0</v>
      </c>
      <c r="AL8" s="39">
        <v>24.0</v>
      </c>
      <c r="AM8" s="39">
        <v>22.0</v>
      </c>
      <c r="AN8" s="39">
        <v>20.0</v>
      </c>
      <c r="AO8" s="39">
        <v>0.0</v>
      </c>
      <c r="AP8" s="39">
        <v>0.0</v>
      </c>
      <c r="AQ8" s="39">
        <v>2.0</v>
      </c>
      <c r="AR8" s="39">
        <v>0.0</v>
      </c>
      <c r="AS8" s="39">
        <v>2.0</v>
      </c>
      <c r="AT8" s="39">
        <v>0.0</v>
      </c>
      <c r="AU8" s="39">
        <v>0.0</v>
      </c>
      <c r="AV8" s="39">
        <v>0.0</v>
      </c>
      <c r="AW8" s="39">
        <v>1.5</v>
      </c>
      <c r="AX8" s="39">
        <v>0.0</v>
      </c>
      <c r="AY8" s="39">
        <v>2.0</v>
      </c>
      <c r="AZ8" s="39">
        <v>1.0</v>
      </c>
      <c r="BA8" s="39">
        <v>0.0</v>
      </c>
      <c r="BB8" s="39">
        <v>0.0</v>
      </c>
      <c r="BC8" s="39">
        <v>0.0</v>
      </c>
      <c r="BD8" s="39"/>
      <c r="BE8" s="39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>
        <v>0.0</v>
      </c>
      <c r="DQ8" s="40">
        <v>0.0</v>
      </c>
      <c r="DR8" s="40">
        <v>0.0</v>
      </c>
      <c r="DS8" s="40">
        <v>0.0</v>
      </c>
      <c r="DT8" s="40">
        <v>0.0</v>
      </c>
      <c r="DU8" s="40">
        <v>0.0</v>
      </c>
      <c r="DV8" s="40">
        <v>0.0</v>
      </c>
      <c r="DW8" s="40">
        <v>0.0</v>
      </c>
      <c r="DX8" s="40">
        <v>0.0</v>
      </c>
      <c r="DY8" s="40">
        <v>0.0</v>
      </c>
      <c r="DZ8" s="40">
        <v>0.0</v>
      </c>
      <c r="EA8" s="40">
        <v>0.0</v>
      </c>
      <c r="EB8" s="40">
        <v>0.0</v>
      </c>
      <c r="EC8" s="40">
        <v>0.0</v>
      </c>
      <c r="ED8" s="40">
        <v>0.0</v>
      </c>
      <c r="EE8" s="40">
        <v>0.0</v>
      </c>
      <c r="EF8" s="40">
        <v>0.0</v>
      </c>
      <c r="EG8" s="40">
        <v>0.0</v>
      </c>
      <c r="EH8" s="40">
        <v>0.0</v>
      </c>
      <c r="EI8" s="40">
        <v>1.0</v>
      </c>
      <c r="EJ8" s="40">
        <v>0.0</v>
      </c>
      <c r="EK8" s="40">
        <v>0.0</v>
      </c>
      <c r="EL8" s="40">
        <v>0.0</v>
      </c>
      <c r="EM8" s="40">
        <v>0.0</v>
      </c>
      <c r="EN8" s="40">
        <v>1.0</v>
      </c>
      <c r="EO8" s="40">
        <v>0.0</v>
      </c>
      <c r="EP8" s="40">
        <v>0.0</v>
      </c>
      <c r="EQ8" s="40">
        <v>0.0</v>
      </c>
      <c r="ER8" s="40">
        <v>1.0</v>
      </c>
      <c r="ES8" s="40">
        <v>0.0</v>
      </c>
      <c r="ET8" s="40">
        <v>0.0</v>
      </c>
      <c r="EU8" s="39"/>
      <c r="EV8" s="39">
        <v>21.0</v>
      </c>
    </row>
    <row r="9">
      <c r="A9" s="41">
        <v>2.0</v>
      </c>
      <c r="B9" s="42">
        <v>10002.0</v>
      </c>
      <c r="C9" s="41" t="s">
        <v>44</v>
      </c>
      <c r="D9" s="43"/>
      <c r="E9" s="43"/>
      <c r="F9" s="41" t="s">
        <v>41</v>
      </c>
      <c r="G9" s="44">
        <v>1.0</v>
      </c>
      <c r="H9" s="44">
        <v>1.0</v>
      </c>
      <c r="I9" s="44">
        <v>1.0</v>
      </c>
      <c r="J9" s="44">
        <v>1.0</v>
      </c>
      <c r="K9" s="44" t="s">
        <v>43</v>
      </c>
      <c r="L9" s="44" t="s">
        <v>28</v>
      </c>
      <c r="M9" s="44" t="s">
        <v>43</v>
      </c>
      <c r="N9" s="44">
        <v>0.0</v>
      </c>
      <c r="O9" s="44">
        <v>0.0</v>
      </c>
      <c r="P9" s="44">
        <v>1.0</v>
      </c>
      <c r="Q9" s="44">
        <v>1.0</v>
      </c>
      <c r="R9" s="44">
        <v>1.0</v>
      </c>
      <c r="S9" s="44">
        <v>1.0</v>
      </c>
      <c r="T9" s="44">
        <v>0.0</v>
      </c>
      <c r="U9" s="44">
        <v>1.0</v>
      </c>
      <c r="V9" s="44">
        <v>1.0</v>
      </c>
      <c r="W9" s="44">
        <v>1.0</v>
      </c>
      <c r="X9" s="44">
        <v>1.0</v>
      </c>
      <c r="Y9" s="44">
        <v>1.0</v>
      </c>
      <c r="Z9" s="44">
        <v>0.0</v>
      </c>
      <c r="AA9" s="44" t="s">
        <v>45</v>
      </c>
      <c r="AB9" s="44" t="s">
        <v>42</v>
      </c>
      <c r="AC9" s="44" t="s">
        <v>42</v>
      </c>
      <c r="AD9" s="44" t="s">
        <v>42</v>
      </c>
      <c r="AE9" s="44" t="s">
        <v>42</v>
      </c>
      <c r="AF9" s="44" t="s">
        <v>42</v>
      </c>
      <c r="AG9" s="44" t="s">
        <v>42</v>
      </c>
      <c r="AH9" s="44" t="s">
        <v>45</v>
      </c>
      <c r="AI9" s="44">
        <v>1.0</v>
      </c>
      <c r="AJ9" s="44">
        <v>1.0</v>
      </c>
      <c r="AK9" s="44">
        <v>1.0</v>
      </c>
      <c r="AL9" s="45">
        <v>24.0</v>
      </c>
      <c r="AM9" s="45">
        <v>22.0</v>
      </c>
      <c r="AN9" s="45">
        <v>16.0</v>
      </c>
      <c r="AO9" s="45">
        <v>0.0</v>
      </c>
      <c r="AP9" s="45">
        <v>0.0</v>
      </c>
      <c r="AQ9" s="45">
        <v>6.0</v>
      </c>
      <c r="AR9" s="45"/>
      <c r="AS9" s="45">
        <v>2.0</v>
      </c>
      <c r="AT9" s="45">
        <v>0.0</v>
      </c>
      <c r="AU9" s="45">
        <v>0.0</v>
      </c>
      <c r="AV9" s="45">
        <v>0.0</v>
      </c>
      <c r="AW9" s="45">
        <v>1.0</v>
      </c>
      <c r="AX9" s="45">
        <v>0.0</v>
      </c>
      <c r="AY9" s="45">
        <v>0.0</v>
      </c>
      <c r="AZ9" s="45">
        <v>0.0</v>
      </c>
      <c r="BA9" s="45">
        <v>0.0</v>
      </c>
      <c r="BB9" s="45">
        <v>0.0</v>
      </c>
      <c r="BC9" s="45">
        <v>0.0</v>
      </c>
      <c r="BD9" s="45"/>
      <c r="BE9" s="45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>
        <v>0.0</v>
      </c>
      <c r="DQ9" s="46">
        <v>0.0</v>
      </c>
      <c r="DR9" s="46">
        <v>0.0</v>
      </c>
      <c r="DS9" s="46">
        <v>0.0</v>
      </c>
      <c r="DT9" s="46">
        <v>0.0</v>
      </c>
      <c r="DU9" s="46">
        <v>0.0</v>
      </c>
      <c r="DV9" s="46">
        <v>0.0</v>
      </c>
      <c r="DW9" s="46">
        <v>0.0</v>
      </c>
      <c r="DX9" s="46">
        <v>0.0</v>
      </c>
      <c r="DY9" s="46">
        <v>0.0</v>
      </c>
      <c r="DZ9" s="46">
        <v>0.0</v>
      </c>
      <c r="EA9" s="46">
        <v>0.0</v>
      </c>
      <c r="EB9" s="46">
        <v>0.0</v>
      </c>
      <c r="EC9" s="46">
        <v>0.0</v>
      </c>
      <c r="ED9" s="46">
        <v>0.0</v>
      </c>
      <c r="EE9" s="46">
        <v>0.0</v>
      </c>
      <c r="EF9" s="46">
        <v>0.0</v>
      </c>
      <c r="EG9" s="46">
        <v>0.0</v>
      </c>
      <c r="EH9" s="46">
        <v>0.0</v>
      </c>
      <c r="EI9" s="46">
        <v>0.0</v>
      </c>
      <c r="EJ9" s="46">
        <v>0.0</v>
      </c>
      <c r="EK9" s="46">
        <v>0.0</v>
      </c>
      <c r="EL9" s="46">
        <v>0.0</v>
      </c>
      <c r="EM9" s="46">
        <v>0.0</v>
      </c>
      <c r="EN9" s="46">
        <v>0.0</v>
      </c>
      <c r="EO9" s="46">
        <v>0.0</v>
      </c>
      <c r="EP9" s="46">
        <v>0.0</v>
      </c>
      <c r="EQ9" s="46">
        <v>0.0</v>
      </c>
      <c r="ER9" s="46">
        <v>0.0</v>
      </c>
      <c r="ES9" s="46">
        <v>0.0</v>
      </c>
      <c r="ET9" s="46">
        <v>0.0</v>
      </c>
      <c r="EU9" s="45"/>
      <c r="EV9" s="45">
        <v>16.0</v>
      </c>
    </row>
    <row r="10">
      <c r="A10" s="35">
        <v>3.0</v>
      </c>
      <c r="B10" s="36">
        <v>10003.0</v>
      </c>
      <c r="C10" s="35" t="s">
        <v>46</v>
      </c>
      <c r="D10" s="37"/>
      <c r="E10" s="37"/>
      <c r="F10" s="35" t="s">
        <v>41</v>
      </c>
      <c r="G10" s="38">
        <v>1.0</v>
      </c>
      <c r="H10" s="38">
        <v>1.0</v>
      </c>
      <c r="I10" s="38">
        <v>1.0</v>
      </c>
      <c r="J10" s="38">
        <v>1.0</v>
      </c>
      <c r="K10" s="38" t="s">
        <v>43</v>
      </c>
      <c r="L10" s="38" t="s">
        <v>28</v>
      </c>
      <c r="M10" s="38" t="s">
        <v>43</v>
      </c>
      <c r="N10" s="38">
        <v>0.0</v>
      </c>
      <c r="O10" s="38">
        <v>0.0</v>
      </c>
      <c r="P10" s="38">
        <v>1.0</v>
      </c>
      <c r="Q10" s="38">
        <v>1.0</v>
      </c>
      <c r="R10" s="38">
        <v>1.0</v>
      </c>
      <c r="S10" s="38">
        <v>1.0</v>
      </c>
      <c r="T10" s="38">
        <v>0.0</v>
      </c>
      <c r="U10" s="38">
        <v>1.0</v>
      </c>
      <c r="V10" s="38">
        <v>1.0</v>
      </c>
      <c r="W10" s="38">
        <v>1.0</v>
      </c>
      <c r="X10" s="38">
        <v>1.0</v>
      </c>
      <c r="Y10" s="38">
        <v>1.0</v>
      </c>
      <c r="Z10" s="38">
        <v>0.0</v>
      </c>
      <c r="AA10" s="38">
        <v>0.0</v>
      </c>
      <c r="AB10" s="38">
        <v>1.0</v>
      </c>
      <c r="AC10" s="38" t="s">
        <v>42</v>
      </c>
      <c r="AD10" s="38">
        <v>1.0</v>
      </c>
      <c r="AE10" s="38" t="s">
        <v>42</v>
      </c>
      <c r="AF10" s="38">
        <v>1.0</v>
      </c>
      <c r="AG10" s="38">
        <v>1.0</v>
      </c>
      <c r="AH10" s="38">
        <v>0.0</v>
      </c>
      <c r="AI10" s="38">
        <v>1.0</v>
      </c>
      <c r="AJ10" s="38">
        <v>1.0</v>
      </c>
      <c r="AK10" s="38">
        <v>1.0</v>
      </c>
      <c r="AL10" s="39">
        <v>24.0</v>
      </c>
      <c r="AM10" s="39">
        <v>22.0</v>
      </c>
      <c r="AN10" s="39">
        <v>20.0</v>
      </c>
      <c r="AO10" s="39">
        <v>0.0</v>
      </c>
      <c r="AP10" s="39">
        <v>0.0</v>
      </c>
      <c r="AQ10" s="39">
        <v>2.0</v>
      </c>
      <c r="AR10" s="39"/>
      <c r="AS10" s="39">
        <v>2.0</v>
      </c>
      <c r="AT10" s="39">
        <v>0.0</v>
      </c>
      <c r="AU10" s="39">
        <v>0.0</v>
      </c>
      <c r="AV10" s="39">
        <v>0.0</v>
      </c>
      <c r="AW10" s="39">
        <v>0.0</v>
      </c>
      <c r="AX10" s="39">
        <v>0.0</v>
      </c>
      <c r="AY10" s="39">
        <v>0.0</v>
      </c>
      <c r="AZ10" s="39">
        <v>0.0</v>
      </c>
      <c r="BA10" s="39">
        <v>0.0</v>
      </c>
      <c r="BB10" s="39">
        <v>0.0</v>
      </c>
      <c r="BC10" s="39">
        <v>0.0</v>
      </c>
      <c r="BD10" s="39"/>
      <c r="BE10" s="39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>
        <v>0.0</v>
      </c>
      <c r="DQ10" s="40">
        <v>0.0</v>
      </c>
      <c r="DR10" s="40">
        <v>0.0</v>
      </c>
      <c r="DS10" s="40">
        <v>0.0</v>
      </c>
      <c r="DT10" s="40">
        <v>0.0</v>
      </c>
      <c r="DU10" s="40">
        <v>0.0</v>
      </c>
      <c r="DV10" s="40">
        <v>0.0</v>
      </c>
      <c r="DW10" s="40">
        <v>0.0</v>
      </c>
      <c r="DX10" s="40">
        <v>0.0</v>
      </c>
      <c r="DY10" s="40">
        <v>0.0</v>
      </c>
      <c r="DZ10" s="40">
        <v>0.0</v>
      </c>
      <c r="EA10" s="40">
        <v>0.0</v>
      </c>
      <c r="EB10" s="40">
        <v>0.0</v>
      </c>
      <c r="EC10" s="40">
        <v>0.0</v>
      </c>
      <c r="ED10" s="40">
        <v>0.0</v>
      </c>
      <c r="EE10" s="40">
        <v>0.0</v>
      </c>
      <c r="EF10" s="40">
        <v>0.0</v>
      </c>
      <c r="EG10" s="40">
        <v>0.0</v>
      </c>
      <c r="EH10" s="40">
        <v>0.0</v>
      </c>
      <c r="EI10" s="40">
        <v>0.0</v>
      </c>
      <c r="EJ10" s="40">
        <v>0.0</v>
      </c>
      <c r="EK10" s="40">
        <v>0.0</v>
      </c>
      <c r="EL10" s="40">
        <v>0.0</v>
      </c>
      <c r="EM10" s="40">
        <v>0.0</v>
      </c>
      <c r="EN10" s="40">
        <v>0.0</v>
      </c>
      <c r="EO10" s="40">
        <v>0.0</v>
      </c>
      <c r="EP10" s="40">
        <v>0.0</v>
      </c>
      <c r="EQ10" s="40">
        <v>0.0</v>
      </c>
      <c r="ER10" s="40">
        <v>0.0</v>
      </c>
      <c r="ES10" s="40">
        <v>0.0</v>
      </c>
      <c r="ET10" s="40">
        <v>0.0</v>
      </c>
      <c r="EU10" s="39"/>
      <c r="EV10" s="39">
        <v>20.0</v>
      </c>
    </row>
    <row r="11">
      <c r="A11" s="41">
        <v>4.0</v>
      </c>
      <c r="B11" s="42">
        <v>10031.0</v>
      </c>
      <c r="C11" s="41" t="s">
        <v>47</v>
      </c>
      <c r="D11" s="43"/>
      <c r="E11" s="43"/>
      <c r="F11" s="41" t="s">
        <v>41</v>
      </c>
      <c r="G11" s="44">
        <v>1.0</v>
      </c>
      <c r="H11" s="44">
        <v>1.0</v>
      </c>
      <c r="I11" s="44">
        <v>1.0</v>
      </c>
      <c r="J11" s="44">
        <v>1.0</v>
      </c>
      <c r="K11" s="44" t="s">
        <v>43</v>
      </c>
      <c r="L11" s="44" t="s">
        <v>28</v>
      </c>
      <c r="M11" s="44" t="s">
        <v>43</v>
      </c>
      <c r="N11" s="44">
        <v>0.0</v>
      </c>
      <c r="O11" s="44">
        <v>0.0</v>
      </c>
      <c r="P11" s="44" t="s">
        <v>48</v>
      </c>
      <c r="Q11" s="44">
        <v>1.0</v>
      </c>
      <c r="R11" s="44">
        <v>1.0</v>
      </c>
      <c r="S11" s="44">
        <v>1.0</v>
      </c>
      <c r="T11" s="44">
        <v>0.0</v>
      </c>
      <c r="U11" s="44">
        <v>1.0</v>
      </c>
      <c r="V11" s="44">
        <v>1.0</v>
      </c>
      <c r="W11" s="44">
        <v>1.0</v>
      </c>
      <c r="X11" s="44">
        <v>1.0</v>
      </c>
      <c r="Y11" s="44">
        <v>1.0</v>
      </c>
      <c r="Z11" s="44">
        <v>0.0</v>
      </c>
      <c r="AA11" s="44">
        <v>0.0</v>
      </c>
      <c r="AB11" s="44">
        <v>1.0</v>
      </c>
      <c r="AC11" s="44">
        <v>1.0</v>
      </c>
      <c r="AD11" s="44">
        <v>1.0</v>
      </c>
      <c r="AE11" s="44">
        <v>1.0</v>
      </c>
      <c r="AF11" s="44">
        <v>1.0</v>
      </c>
      <c r="AG11" s="44">
        <v>1.0</v>
      </c>
      <c r="AH11" s="44">
        <v>0.0</v>
      </c>
      <c r="AI11" s="44" t="s">
        <v>42</v>
      </c>
      <c r="AJ11" s="44" t="s">
        <v>42</v>
      </c>
      <c r="AK11" s="44" t="s">
        <v>42</v>
      </c>
      <c r="AL11" s="45">
        <v>24.0</v>
      </c>
      <c r="AM11" s="45">
        <v>21.0</v>
      </c>
      <c r="AN11" s="45">
        <v>18.0</v>
      </c>
      <c r="AO11" s="45">
        <v>0.0</v>
      </c>
      <c r="AP11" s="45">
        <v>0.0</v>
      </c>
      <c r="AQ11" s="45">
        <v>3.0</v>
      </c>
      <c r="AR11" s="45"/>
      <c r="AS11" s="45">
        <v>2.0</v>
      </c>
      <c r="AT11" s="45">
        <v>1.0</v>
      </c>
      <c r="AU11" s="45">
        <v>0.0</v>
      </c>
      <c r="AV11" s="45">
        <v>0.0</v>
      </c>
      <c r="AW11" s="45">
        <v>0.0</v>
      </c>
      <c r="AX11" s="45">
        <v>0.0</v>
      </c>
      <c r="AY11" s="45">
        <v>0.0</v>
      </c>
      <c r="AZ11" s="45">
        <v>0.0</v>
      </c>
      <c r="BA11" s="45">
        <v>0.0</v>
      </c>
      <c r="BB11" s="45">
        <v>0.0</v>
      </c>
      <c r="BC11" s="45">
        <v>0.0</v>
      </c>
      <c r="BD11" s="45"/>
      <c r="BE11" s="45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>
        <v>0.0</v>
      </c>
      <c r="DQ11" s="46">
        <v>0.0</v>
      </c>
      <c r="DR11" s="46">
        <v>0.0</v>
      </c>
      <c r="DS11" s="46">
        <v>0.0</v>
      </c>
      <c r="DT11" s="46">
        <v>0.0</v>
      </c>
      <c r="DU11" s="46">
        <v>0.0</v>
      </c>
      <c r="DV11" s="46">
        <v>0.0</v>
      </c>
      <c r="DW11" s="46">
        <v>0.0</v>
      </c>
      <c r="DX11" s="46">
        <v>0.0</v>
      </c>
      <c r="DY11" s="46">
        <v>0.0</v>
      </c>
      <c r="DZ11" s="46">
        <v>0.0</v>
      </c>
      <c r="EA11" s="46">
        <v>0.0</v>
      </c>
      <c r="EB11" s="46">
        <v>0.0</v>
      </c>
      <c r="EC11" s="46">
        <v>0.0</v>
      </c>
      <c r="ED11" s="46">
        <v>0.0</v>
      </c>
      <c r="EE11" s="46">
        <v>0.0</v>
      </c>
      <c r="EF11" s="46">
        <v>0.0</v>
      </c>
      <c r="EG11" s="46">
        <v>0.0</v>
      </c>
      <c r="EH11" s="46">
        <v>0.0</v>
      </c>
      <c r="EI11" s="46">
        <v>0.0</v>
      </c>
      <c r="EJ11" s="46">
        <v>0.0</v>
      </c>
      <c r="EK11" s="46">
        <v>0.0</v>
      </c>
      <c r="EL11" s="46">
        <v>0.0</v>
      </c>
      <c r="EM11" s="46">
        <v>0.0</v>
      </c>
      <c r="EN11" s="46">
        <v>0.0</v>
      </c>
      <c r="EO11" s="46">
        <v>0.0</v>
      </c>
      <c r="EP11" s="46">
        <v>0.0</v>
      </c>
      <c r="EQ11" s="46">
        <v>0.0</v>
      </c>
      <c r="ER11" s="46">
        <v>0.0</v>
      </c>
      <c r="ES11" s="46">
        <v>0.0</v>
      </c>
      <c r="ET11" s="46">
        <v>0.0</v>
      </c>
      <c r="EU11" s="45"/>
      <c r="EV11" s="45">
        <v>18.0</v>
      </c>
    </row>
    <row r="12">
      <c r="A12" s="35">
        <v>5.0</v>
      </c>
      <c r="B12" s="36">
        <v>10387.0</v>
      </c>
      <c r="C12" s="35" t="s">
        <v>49</v>
      </c>
      <c r="D12" s="37"/>
      <c r="E12" s="37"/>
      <c r="F12" s="35" t="s">
        <v>50</v>
      </c>
      <c r="G12" s="38">
        <v>1.0000000000000002</v>
      </c>
      <c r="H12" s="38">
        <v>1.0000000000000002</v>
      </c>
      <c r="I12" s="38">
        <v>1.0000000000000002</v>
      </c>
      <c r="J12" s="38">
        <v>1.0000000000000002</v>
      </c>
      <c r="K12" s="38" t="s">
        <v>43</v>
      </c>
      <c r="L12" s="38"/>
      <c r="M12" s="38" t="s">
        <v>43</v>
      </c>
      <c r="N12" s="38"/>
      <c r="O12" s="38"/>
      <c r="P12" s="38">
        <v>1.0000000000000002</v>
      </c>
      <c r="Q12" s="38">
        <v>0.8000000000000003</v>
      </c>
      <c r="R12" s="38">
        <v>1.0000000000000002</v>
      </c>
      <c r="S12" s="38" t="s">
        <v>48</v>
      </c>
      <c r="T12" s="38"/>
      <c r="U12" s="38">
        <v>1.0000000000000002</v>
      </c>
      <c r="V12" s="38">
        <v>1.0000000000000002</v>
      </c>
      <c r="W12" s="38">
        <v>1.0000000000000002</v>
      </c>
      <c r="X12" s="38">
        <v>1.0000000000000002</v>
      </c>
      <c r="Y12" s="38">
        <v>1.0000000000000002</v>
      </c>
      <c r="Z12" s="38"/>
      <c r="AA12" s="38"/>
      <c r="AB12" s="38">
        <v>1.0000000000000002</v>
      </c>
      <c r="AC12" s="38">
        <v>1.0000000000000002</v>
      </c>
      <c r="AD12" s="38">
        <v>1.0000000000000002</v>
      </c>
      <c r="AE12" s="38">
        <v>1.0000000000000002</v>
      </c>
      <c r="AF12" s="38">
        <v>1.0000000000000002</v>
      </c>
      <c r="AG12" s="38">
        <v>1.0000000000000002</v>
      </c>
      <c r="AH12" s="38"/>
      <c r="AI12" s="38">
        <v>1.0000000000000002</v>
      </c>
      <c r="AJ12" s="38">
        <v>1.0000000000000002</v>
      </c>
      <c r="AK12" s="38">
        <v>0.8770833333333333</v>
      </c>
      <c r="AL12" s="39">
        <v>24.0</v>
      </c>
      <c r="AM12" s="39">
        <v>20.677083333333336</v>
      </c>
      <c r="AN12" s="39">
        <v>20.677083333333336</v>
      </c>
      <c r="AO12" s="39">
        <v>0.0</v>
      </c>
      <c r="AP12" s="39">
        <v>0.0</v>
      </c>
      <c r="AQ12" s="39">
        <v>0.0</v>
      </c>
      <c r="AR12" s="39"/>
      <c r="AS12" s="39">
        <v>2.0</v>
      </c>
      <c r="AT12" s="39">
        <v>1.0</v>
      </c>
      <c r="AU12" s="39">
        <v>0.0</v>
      </c>
      <c r="AV12" s="39">
        <v>0.0</v>
      </c>
      <c r="AW12" s="39">
        <v>0.0</v>
      </c>
      <c r="AX12" s="39">
        <v>0.0</v>
      </c>
      <c r="AY12" s="39">
        <v>0.0</v>
      </c>
      <c r="AZ12" s="39">
        <v>0.0</v>
      </c>
      <c r="BA12" s="39">
        <v>0.0</v>
      </c>
      <c r="BB12" s="39">
        <v>0.0</v>
      </c>
      <c r="BC12" s="39">
        <v>0.0</v>
      </c>
      <c r="BD12" s="39"/>
      <c r="BE12" s="39"/>
      <c r="BF12" s="40">
        <v>0.0</v>
      </c>
      <c r="BG12" s="40">
        <v>0.0</v>
      </c>
      <c r="BH12" s="40">
        <v>0.0</v>
      </c>
      <c r="BI12" s="40">
        <v>0.0</v>
      </c>
      <c r="BJ12" s="40"/>
      <c r="BK12" s="40"/>
      <c r="BL12" s="40"/>
      <c r="BM12" s="40"/>
      <c r="BN12" s="40"/>
      <c r="BO12" s="40">
        <v>0.0</v>
      </c>
      <c r="BP12" s="40">
        <v>0.0</v>
      </c>
      <c r="BQ12" s="40">
        <v>0.0</v>
      </c>
      <c r="BR12" s="40" t="s">
        <v>28</v>
      </c>
      <c r="BS12" s="40"/>
      <c r="BT12" s="40">
        <v>0.0</v>
      </c>
      <c r="BU12" s="40">
        <v>0.0</v>
      </c>
      <c r="BV12" s="40">
        <v>0.0</v>
      </c>
      <c r="BW12" s="40">
        <v>0.0</v>
      </c>
      <c r="BX12" s="40">
        <v>0.0</v>
      </c>
      <c r="BY12" s="40"/>
      <c r="BZ12" s="40"/>
      <c r="CA12" s="40">
        <v>0.0</v>
      </c>
      <c r="CB12" s="40">
        <v>0.0</v>
      </c>
      <c r="CC12" s="40">
        <v>0.0</v>
      </c>
      <c r="CD12" s="40">
        <v>0.0</v>
      </c>
      <c r="CE12" s="40">
        <v>0.0</v>
      </c>
      <c r="CF12" s="40">
        <v>0.0</v>
      </c>
      <c r="CG12" s="40"/>
      <c r="CH12" s="40">
        <v>0.0</v>
      </c>
      <c r="CI12" s="40">
        <v>0.0</v>
      </c>
      <c r="CJ12" s="40">
        <v>0.0</v>
      </c>
      <c r="CK12" s="40">
        <v>0.0</v>
      </c>
      <c r="CL12" s="40">
        <v>0.0</v>
      </c>
      <c r="CM12" s="40">
        <v>0.0</v>
      </c>
      <c r="CN12" s="40">
        <v>0.0</v>
      </c>
      <c r="CO12" s="40"/>
      <c r="CP12" s="40"/>
      <c r="CQ12" s="40"/>
      <c r="CR12" s="40"/>
      <c r="CS12" s="40"/>
      <c r="CT12" s="40">
        <v>0.0</v>
      </c>
      <c r="CU12" s="40">
        <v>0.0</v>
      </c>
      <c r="CV12" s="40">
        <v>0.0</v>
      </c>
      <c r="CW12" s="40"/>
      <c r="CX12" s="40"/>
      <c r="CY12" s="40">
        <v>0.0</v>
      </c>
      <c r="CZ12" s="40">
        <v>0.0</v>
      </c>
      <c r="DA12" s="40">
        <v>0.0</v>
      </c>
      <c r="DB12" s="40">
        <v>0.0</v>
      </c>
      <c r="DC12" s="40">
        <v>0.0</v>
      </c>
      <c r="DD12" s="40"/>
      <c r="DE12" s="40"/>
      <c r="DF12" s="40">
        <v>0.0</v>
      </c>
      <c r="DG12" s="40">
        <v>0.0</v>
      </c>
      <c r="DH12" s="40">
        <v>0.0</v>
      </c>
      <c r="DI12" s="40">
        <v>0.0</v>
      </c>
      <c r="DJ12" s="40">
        <v>0.0</v>
      </c>
      <c r="DK12" s="40">
        <v>0.0</v>
      </c>
      <c r="DL12" s="40"/>
      <c r="DM12" s="40">
        <v>0.0</v>
      </c>
      <c r="DN12" s="40">
        <v>0.0</v>
      </c>
      <c r="DO12" s="40">
        <v>0.0</v>
      </c>
      <c r="DP12" s="40">
        <v>0.0</v>
      </c>
      <c r="DQ12" s="40">
        <v>0.0</v>
      </c>
      <c r="DR12" s="40">
        <v>0.0</v>
      </c>
      <c r="DS12" s="40">
        <v>0.0</v>
      </c>
      <c r="DT12" s="40">
        <v>0.0</v>
      </c>
      <c r="DU12" s="40">
        <v>0.0</v>
      </c>
      <c r="DV12" s="40">
        <v>0.0</v>
      </c>
      <c r="DW12" s="40">
        <v>0.0</v>
      </c>
      <c r="DX12" s="40">
        <v>0.0</v>
      </c>
      <c r="DY12" s="40">
        <v>0.0</v>
      </c>
      <c r="DZ12" s="40">
        <v>0.0</v>
      </c>
      <c r="EA12" s="40">
        <v>0.0</v>
      </c>
      <c r="EB12" s="40">
        <v>0.0</v>
      </c>
      <c r="EC12" s="40">
        <v>0.0</v>
      </c>
      <c r="ED12" s="40">
        <v>0.0</v>
      </c>
      <c r="EE12" s="40">
        <v>0.0</v>
      </c>
      <c r="EF12" s="40">
        <v>0.0</v>
      </c>
      <c r="EG12" s="40">
        <v>0.0</v>
      </c>
      <c r="EH12" s="40">
        <v>0.0</v>
      </c>
      <c r="EI12" s="40">
        <v>0.0</v>
      </c>
      <c r="EJ12" s="40">
        <v>0.0</v>
      </c>
      <c r="EK12" s="40">
        <v>0.0</v>
      </c>
      <c r="EL12" s="40">
        <v>0.0</v>
      </c>
      <c r="EM12" s="40">
        <v>0.0</v>
      </c>
      <c r="EN12" s="40">
        <v>0.0</v>
      </c>
      <c r="EO12" s="40">
        <v>0.0</v>
      </c>
      <c r="EP12" s="40">
        <v>0.0</v>
      </c>
      <c r="EQ12" s="40">
        <v>0.0</v>
      </c>
      <c r="ER12" s="40">
        <v>0.0</v>
      </c>
      <c r="ES12" s="40">
        <v>0.0</v>
      </c>
      <c r="ET12" s="40">
        <v>0.0</v>
      </c>
      <c r="EU12" s="39">
        <v>20.000000000000004</v>
      </c>
      <c r="EV12" s="39"/>
    </row>
    <row r="13">
      <c r="A13" s="41">
        <v>6.0</v>
      </c>
      <c r="B13" s="42">
        <v>10029.0</v>
      </c>
      <c r="C13" s="41" t="s">
        <v>51</v>
      </c>
      <c r="D13" s="43"/>
      <c r="E13" s="43"/>
      <c r="F13" s="41" t="s">
        <v>50</v>
      </c>
      <c r="G13" s="44">
        <v>1.0000000000000002</v>
      </c>
      <c r="H13" s="44">
        <v>1.0000000000000002</v>
      </c>
      <c r="I13" s="44">
        <v>1.0000000000000002</v>
      </c>
      <c r="J13" s="44">
        <v>1.0000000000000002</v>
      </c>
      <c r="K13" s="44" t="s">
        <v>43</v>
      </c>
      <c r="L13" s="44"/>
      <c r="M13" s="44" t="s">
        <v>43</v>
      </c>
      <c r="N13" s="44"/>
      <c r="O13" s="44"/>
      <c r="P13" s="44">
        <v>1.0000000000000002</v>
      </c>
      <c r="Q13" s="44">
        <v>1.0000000000000002</v>
      </c>
      <c r="R13" s="44">
        <v>1.0000000000000002</v>
      </c>
      <c r="S13" s="44">
        <v>1.0000000000000002</v>
      </c>
      <c r="T13" s="44"/>
      <c r="U13" s="44">
        <v>1.0000000000000002</v>
      </c>
      <c r="V13" s="44">
        <v>1.0000000000000002</v>
      </c>
      <c r="W13" s="44">
        <v>1.0000000000000002</v>
      </c>
      <c r="X13" s="44">
        <v>1.0000000000000002</v>
      </c>
      <c r="Y13" s="44" t="s">
        <v>48</v>
      </c>
      <c r="Z13" s="44"/>
      <c r="AA13" s="44"/>
      <c r="AB13" s="44">
        <v>1.0000000000000002</v>
      </c>
      <c r="AC13" s="44">
        <v>1.0000000000000002</v>
      </c>
      <c r="AD13" s="44">
        <v>1.0000000000000002</v>
      </c>
      <c r="AE13" s="44">
        <v>1.0000000000000002</v>
      </c>
      <c r="AF13" s="44">
        <v>1.0000000000000002</v>
      </c>
      <c r="AG13" s="44">
        <v>1.0000000000000002</v>
      </c>
      <c r="AH13" s="44"/>
      <c r="AI13" s="44">
        <v>1.0000000000000002</v>
      </c>
      <c r="AJ13" s="44">
        <v>1.0000000000000002</v>
      </c>
      <c r="AK13" s="44">
        <v>1.0000000000000002</v>
      </c>
      <c r="AL13" s="45">
        <v>24.0</v>
      </c>
      <c r="AM13" s="45">
        <v>21.000000000000004</v>
      </c>
      <c r="AN13" s="45">
        <v>21.000000000000004</v>
      </c>
      <c r="AO13" s="45">
        <v>0.0</v>
      </c>
      <c r="AP13" s="45">
        <v>0.0</v>
      </c>
      <c r="AQ13" s="45">
        <v>0.0</v>
      </c>
      <c r="AR13" s="45"/>
      <c r="AS13" s="45">
        <v>2.0</v>
      </c>
      <c r="AT13" s="45">
        <v>1.0</v>
      </c>
      <c r="AU13" s="45">
        <v>1.0</v>
      </c>
      <c r="AV13" s="45">
        <v>0.0</v>
      </c>
      <c r="AW13" s="45">
        <v>0.0</v>
      </c>
      <c r="AX13" s="45">
        <v>0.0</v>
      </c>
      <c r="AY13" s="45">
        <v>0.0</v>
      </c>
      <c r="AZ13" s="45">
        <v>0.0</v>
      </c>
      <c r="BA13" s="45">
        <v>0.0</v>
      </c>
      <c r="BB13" s="45">
        <v>0.0</v>
      </c>
      <c r="BC13" s="45">
        <v>0.0</v>
      </c>
      <c r="BD13" s="45"/>
      <c r="BE13" s="45"/>
      <c r="BF13" s="46">
        <v>0.0</v>
      </c>
      <c r="BG13" s="46">
        <v>0.0</v>
      </c>
      <c r="BH13" s="46">
        <v>0.0</v>
      </c>
      <c r="BI13" s="46">
        <v>0.0</v>
      </c>
      <c r="BJ13" s="46"/>
      <c r="BK13" s="46"/>
      <c r="BL13" s="46"/>
      <c r="BM13" s="46"/>
      <c r="BN13" s="46"/>
      <c r="BO13" s="46">
        <v>0.0</v>
      </c>
      <c r="BP13" s="46">
        <v>0.0</v>
      </c>
      <c r="BQ13" s="46">
        <v>0.0</v>
      </c>
      <c r="BR13" s="46">
        <v>0.0</v>
      </c>
      <c r="BS13" s="46"/>
      <c r="BT13" s="46">
        <v>0.0</v>
      </c>
      <c r="BU13" s="46">
        <v>0.0</v>
      </c>
      <c r="BV13" s="46">
        <v>0.0</v>
      </c>
      <c r="BW13" s="46">
        <v>0.0</v>
      </c>
      <c r="BX13" s="46" t="s">
        <v>28</v>
      </c>
      <c r="BY13" s="46"/>
      <c r="BZ13" s="46"/>
      <c r="CA13" s="46">
        <v>0.0</v>
      </c>
      <c r="CB13" s="46">
        <v>0.0</v>
      </c>
      <c r="CC13" s="46">
        <v>0.0</v>
      </c>
      <c r="CD13" s="46">
        <v>0.0</v>
      </c>
      <c r="CE13" s="46">
        <v>0.0</v>
      </c>
      <c r="CF13" s="46">
        <v>0.0</v>
      </c>
      <c r="CG13" s="46"/>
      <c r="CH13" s="46">
        <v>0.0</v>
      </c>
      <c r="CI13" s="46">
        <v>1.0</v>
      </c>
      <c r="CJ13" s="46">
        <v>0.0</v>
      </c>
      <c r="CK13" s="46">
        <v>0.0</v>
      </c>
      <c r="CL13" s="46">
        <v>0.0</v>
      </c>
      <c r="CM13" s="46">
        <v>0.0</v>
      </c>
      <c r="CN13" s="46">
        <v>0.0</v>
      </c>
      <c r="CO13" s="46"/>
      <c r="CP13" s="46"/>
      <c r="CQ13" s="46"/>
      <c r="CR13" s="46"/>
      <c r="CS13" s="46"/>
      <c r="CT13" s="46">
        <v>0.0</v>
      </c>
      <c r="CU13" s="46">
        <v>0.0</v>
      </c>
      <c r="CV13" s="46">
        <v>0.0</v>
      </c>
      <c r="CW13" s="46">
        <v>0.0</v>
      </c>
      <c r="CX13" s="46"/>
      <c r="CY13" s="46">
        <v>0.0</v>
      </c>
      <c r="CZ13" s="46">
        <v>0.0</v>
      </c>
      <c r="DA13" s="46">
        <v>0.0</v>
      </c>
      <c r="DB13" s="46">
        <v>0.0</v>
      </c>
      <c r="DC13" s="46"/>
      <c r="DD13" s="46"/>
      <c r="DE13" s="46"/>
      <c r="DF13" s="46">
        <v>0.0</v>
      </c>
      <c r="DG13" s="46">
        <v>0.0</v>
      </c>
      <c r="DH13" s="46">
        <v>0.0</v>
      </c>
      <c r="DI13" s="46">
        <v>0.0</v>
      </c>
      <c r="DJ13" s="46">
        <v>0.0</v>
      </c>
      <c r="DK13" s="46">
        <v>0.0</v>
      </c>
      <c r="DL13" s="46"/>
      <c r="DM13" s="46">
        <v>0.0</v>
      </c>
      <c r="DN13" s="46">
        <v>0.0</v>
      </c>
      <c r="DO13" s="46">
        <v>0.0</v>
      </c>
      <c r="DP13" s="46">
        <v>0.0</v>
      </c>
      <c r="DQ13" s="46">
        <v>0.0</v>
      </c>
      <c r="DR13" s="46">
        <v>0.0</v>
      </c>
      <c r="DS13" s="46">
        <v>0.0</v>
      </c>
      <c r="DT13" s="46">
        <v>0.0</v>
      </c>
      <c r="DU13" s="46">
        <v>0.0</v>
      </c>
      <c r="DV13" s="46">
        <v>0.0</v>
      </c>
      <c r="DW13" s="46">
        <v>0.0</v>
      </c>
      <c r="DX13" s="46">
        <v>0.0</v>
      </c>
      <c r="DY13" s="46">
        <v>0.0</v>
      </c>
      <c r="DZ13" s="46">
        <v>0.0</v>
      </c>
      <c r="EA13" s="46">
        <v>0.0</v>
      </c>
      <c r="EB13" s="46">
        <v>0.0</v>
      </c>
      <c r="EC13" s="46">
        <v>0.0</v>
      </c>
      <c r="ED13" s="46">
        <v>0.0</v>
      </c>
      <c r="EE13" s="46">
        <v>0.0</v>
      </c>
      <c r="EF13" s="46">
        <v>0.0</v>
      </c>
      <c r="EG13" s="46">
        <v>0.0</v>
      </c>
      <c r="EH13" s="46">
        <v>0.0</v>
      </c>
      <c r="EI13" s="46">
        <v>0.0</v>
      </c>
      <c r="EJ13" s="46">
        <v>0.0</v>
      </c>
      <c r="EK13" s="46">
        <v>0.0</v>
      </c>
      <c r="EL13" s="46">
        <v>0.0</v>
      </c>
      <c r="EM13" s="46">
        <v>0.0</v>
      </c>
      <c r="EN13" s="46">
        <v>0.0</v>
      </c>
      <c r="EO13" s="46">
        <v>0.0</v>
      </c>
      <c r="EP13" s="46">
        <v>0.0</v>
      </c>
      <c r="EQ13" s="46">
        <v>0.0</v>
      </c>
      <c r="ER13" s="46">
        <v>0.0</v>
      </c>
      <c r="ES13" s="46">
        <v>0.0</v>
      </c>
      <c r="ET13" s="46">
        <v>0.0</v>
      </c>
      <c r="EU13" s="45">
        <v>22.000000000000004</v>
      </c>
      <c r="EV13" s="45"/>
    </row>
    <row r="14">
      <c r="A14" s="35">
        <v>7.0</v>
      </c>
      <c r="B14" s="36">
        <v>10230.0</v>
      </c>
      <c r="C14" s="35" t="s">
        <v>52</v>
      </c>
      <c r="D14" s="37"/>
      <c r="E14" s="47">
        <v>0.6666666666666666</v>
      </c>
      <c r="F14" s="35" t="s">
        <v>50</v>
      </c>
      <c r="G14" s="38">
        <v>1.0000000000000002</v>
      </c>
      <c r="H14" s="38">
        <v>1.0000000000000002</v>
      </c>
      <c r="I14" s="38">
        <v>1.0000000000000002</v>
      </c>
      <c r="J14" s="38">
        <v>1.0000000000000002</v>
      </c>
      <c r="K14" s="38" t="s">
        <v>43</v>
      </c>
      <c r="L14" s="38"/>
      <c r="M14" s="38" t="s">
        <v>43</v>
      </c>
      <c r="N14" s="38"/>
      <c r="O14" s="38"/>
      <c r="P14" s="38">
        <v>1.0000000000000002</v>
      </c>
      <c r="Q14" s="38">
        <v>1.0000000000000002</v>
      </c>
      <c r="R14" s="38">
        <v>1.0000000000000002</v>
      </c>
      <c r="S14" s="38">
        <v>1.0000000000000002</v>
      </c>
      <c r="T14" s="38"/>
      <c r="U14" s="38" t="s">
        <v>48</v>
      </c>
      <c r="V14" s="38">
        <v>1.0000000000000002</v>
      </c>
      <c r="W14" s="38">
        <v>1.0000000000000002</v>
      </c>
      <c r="X14" s="38">
        <v>1.0000000000000002</v>
      </c>
      <c r="Y14" s="38">
        <v>1.0000000000000002</v>
      </c>
      <c r="Z14" s="38">
        <v>1.0</v>
      </c>
      <c r="AA14" s="38">
        <v>1.0</v>
      </c>
      <c r="AB14" s="38">
        <v>1.0000000000000002</v>
      </c>
      <c r="AC14" s="38">
        <v>1.0000000000000002</v>
      </c>
      <c r="AD14" s="38">
        <v>1.0000000000000002</v>
      </c>
      <c r="AE14" s="38">
        <v>1.0000000000000002</v>
      </c>
      <c r="AF14" s="38">
        <v>1.0000000000000002</v>
      </c>
      <c r="AG14" s="38">
        <v>1.0000000000000002</v>
      </c>
      <c r="AH14" s="38"/>
      <c r="AI14" s="38">
        <v>1.0000000000000002</v>
      </c>
      <c r="AJ14" s="38">
        <v>1.0000000000000002</v>
      </c>
      <c r="AK14" s="38">
        <v>1.0000000000000002</v>
      </c>
      <c r="AL14" s="39">
        <v>24.0</v>
      </c>
      <c r="AM14" s="39">
        <v>21.000000000000004</v>
      </c>
      <c r="AN14" s="39">
        <v>21.000000000000004</v>
      </c>
      <c r="AO14" s="39">
        <v>0.0</v>
      </c>
      <c r="AP14" s="39">
        <v>0.0</v>
      </c>
      <c r="AQ14" s="39">
        <v>0.0</v>
      </c>
      <c r="AR14" s="39"/>
      <c r="AS14" s="39">
        <v>2.0</v>
      </c>
      <c r="AT14" s="39">
        <v>1.0</v>
      </c>
      <c r="AU14" s="39">
        <v>0.0</v>
      </c>
      <c r="AV14" s="39">
        <v>0.0</v>
      </c>
      <c r="AW14" s="39">
        <v>2.0</v>
      </c>
      <c r="AX14" s="39">
        <v>0.0</v>
      </c>
      <c r="AY14" s="39">
        <v>0.0</v>
      </c>
      <c r="AZ14" s="39">
        <v>0.0</v>
      </c>
      <c r="BA14" s="39">
        <v>0.0</v>
      </c>
      <c r="BB14" s="39">
        <v>0.0</v>
      </c>
      <c r="BC14" s="39">
        <v>0.0</v>
      </c>
      <c r="BD14" s="39"/>
      <c r="BE14" s="39"/>
      <c r="BF14" s="40">
        <v>0.0</v>
      </c>
      <c r="BG14" s="40">
        <v>0.0</v>
      </c>
      <c r="BH14" s="40">
        <v>0.0</v>
      </c>
      <c r="BI14" s="40">
        <v>0.0</v>
      </c>
      <c r="BJ14" s="40"/>
      <c r="BK14" s="40"/>
      <c r="BL14" s="40"/>
      <c r="BM14" s="40"/>
      <c r="BN14" s="40"/>
      <c r="BO14" s="40">
        <v>0.0</v>
      </c>
      <c r="BP14" s="40">
        <v>0.0</v>
      </c>
      <c r="BQ14" s="40">
        <v>0.0</v>
      </c>
      <c r="BR14" s="40">
        <v>0.0</v>
      </c>
      <c r="BS14" s="40"/>
      <c r="BT14" s="40" t="s">
        <v>28</v>
      </c>
      <c r="BU14" s="40">
        <v>0.0</v>
      </c>
      <c r="BV14" s="40">
        <v>0.0</v>
      </c>
      <c r="BW14" s="40">
        <v>0.0</v>
      </c>
      <c r="BX14" s="40">
        <v>0.0</v>
      </c>
      <c r="BY14" s="40">
        <v>0.0</v>
      </c>
      <c r="BZ14" s="40">
        <v>0.0</v>
      </c>
      <c r="CA14" s="40">
        <v>0.0</v>
      </c>
      <c r="CB14" s="40">
        <v>0.0</v>
      </c>
      <c r="CC14" s="40">
        <v>0.0</v>
      </c>
      <c r="CD14" s="40">
        <v>0.0</v>
      </c>
      <c r="CE14" s="40">
        <v>0.0</v>
      </c>
      <c r="CF14" s="40">
        <v>0.0</v>
      </c>
      <c r="CG14" s="40"/>
      <c r="CH14" s="40">
        <v>0.0</v>
      </c>
      <c r="CI14" s="40">
        <v>0.0</v>
      </c>
      <c r="CJ14" s="40">
        <v>0.0</v>
      </c>
      <c r="CK14" s="40">
        <v>0.0</v>
      </c>
      <c r="CL14" s="40">
        <v>0.0</v>
      </c>
      <c r="CM14" s="40">
        <v>0.0</v>
      </c>
      <c r="CN14" s="40">
        <v>0.0</v>
      </c>
      <c r="CO14" s="40"/>
      <c r="CP14" s="40"/>
      <c r="CQ14" s="40"/>
      <c r="CR14" s="40"/>
      <c r="CS14" s="40"/>
      <c r="CT14" s="40">
        <v>0.0</v>
      </c>
      <c r="CU14" s="40">
        <v>0.0</v>
      </c>
      <c r="CV14" s="40">
        <v>0.0</v>
      </c>
      <c r="CW14" s="40">
        <v>0.0</v>
      </c>
      <c r="CX14" s="40"/>
      <c r="CY14" s="40"/>
      <c r="CZ14" s="40">
        <v>0.0</v>
      </c>
      <c r="DA14" s="40">
        <v>0.0</v>
      </c>
      <c r="DB14" s="40">
        <v>0.0</v>
      </c>
      <c r="DC14" s="40">
        <v>0.0</v>
      </c>
      <c r="DD14" s="40">
        <v>0.0</v>
      </c>
      <c r="DE14" s="40">
        <v>0.0</v>
      </c>
      <c r="DF14" s="40">
        <v>0.0</v>
      </c>
      <c r="DG14" s="40">
        <v>0.0</v>
      </c>
      <c r="DH14" s="40">
        <v>0.0</v>
      </c>
      <c r="DI14" s="40">
        <v>0.0</v>
      </c>
      <c r="DJ14" s="40">
        <v>0.0</v>
      </c>
      <c r="DK14" s="40">
        <v>0.0</v>
      </c>
      <c r="DL14" s="40"/>
      <c r="DM14" s="40">
        <v>0.0</v>
      </c>
      <c r="DN14" s="40">
        <v>0.0</v>
      </c>
      <c r="DO14" s="40">
        <v>0.0</v>
      </c>
      <c r="DP14" s="40">
        <v>0.0</v>
      </c>
      <c r="DQ14" s="40">
        <v>0.0</v>
      </c>
      <c r="DR14" s="40">
        <v>0.0</v>
      </c>
      <c r="DS14" s="40">
        <v>0.0</v>
      </c>
      <c r="DT14" s="40">
        <v>0.0</v>
      </c>
      <c r="DU14" s="40">
        <v>0.0</v>
      </c>
      <c r="DV14" s="40">
        <v>0.0</v>
      </c>
      <c r="DW14" s="40">
        <v>0.0</v>
      </c>
      <c r="DX14" s="40">
        <v>0.0</v>
      </c>
      <c r="DY14" s="40">
        <v>0.0</v>
      </c>
      <c r="DZ14" s="40">
        <v>0.0</v>
      </c>
      <c r="EA14" s="40">
        <v>0.0</v>
      </c>
      <c r="EB14" s="40">
        <v>0.0</v>
      </c>
      <c r="EC14" s="40">
        <v>0.0</v>
      </c>
      <c r="ED14" s="40">
        <v>0.0</v>
      </c>
      <c r="EE14" s="40">
        <v>0.0</v>
      </c>
      <c r="EF14" s="40">
        <v>0.0</v>
      </c>
      <c r="EG14" s="40">
        <v>0.0</v>
      </c>
      <c r="EH14" s="40">
        <v>0.0</v>
      </c>
      <c r="EI14" s="40">
        <v>0.0</v>
      </c>
      <c r="EJ14" s="40">
        <v>0.0</v>
      </c>
      <c r="EK14" s="40">
        <v>0.0</v>
      </c>
      <c r="EL14" s="40">
        <v>0.0</v>
      </c>
      <c r="EM14" s="40">
        <v>0.0</v>
      </c>
      <c r="EN14" s="40">
        <v>0.0</v>
      </c>
      <c r="EO14" s="40">
        <v>0.0</v>
      </c>
      <c r="EP14" s="40">
        <v>0.0</v>
      </c>
      <c r="EQ14" s="40">
        <v>0.0</v>
      </c>
      <c r="ER14" s="40">
        <v>0.0</v>
      </c>
      <c r="ES14" s="40">
        <v>0.0</v>
      </c>
      <c r="ET14" s="40">
        <v>0.0</v>
      </c>
      <c r="EU14" s="39">
        <v>24.000000000000004</v>
      </c>
      <c r="EV14" s="39"/>
    </row>
    <row r="15" hidden="1">
      <c r="A15" s="41">
        <v>8.0</v>
      </c>
      <c r="B15" s="42">
        <v>10084.0</v>
      </c>
      <c r="C15" s="41" t="s">
        <v>53</v>
      </c>
      <c r="D15" s="43"/>
      <c r="E15" s="48"/>
      <c r="F15" s="41" t="s">
        <v>50</v>
      </c>
      <c r="G15" s="44"/>
      <c r="H15" s="44"/>
      <c r="I15" s="44"/>
      <c r="J15" s="44"/>
      <c r="K15" s="44" t="s">
        <v>43</v>
      </c>
      <c r="L15" s="44"/>
      <c r="M15" s="44" t="s">
        <v>43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5">
        <v>24.0</v>
      </c>
      <c r="AM15" s="45">
        <v>0.0</v>
      </c>
      <c r="AN15" s="45">
        <v>0.0</v>
      </c>
      <c r="AO15" s="45">
        <v>0.0</v>
      </c>
      <c r="AP15" s="45">
        <v>0.0</v>
      </c>
      <c r="AQ15" s="45">
        <v>0.0</v>
      </c>
      <c r="AR15" s="45"/>
      <c r="AS15" s="45">
        <v>2.0</v>
      </c>
      <c r="AT15" s="45">
        <v>0.0</v>
      </c>
      <c r="AU15" s="45">
        <v>0.0</v>
      </c>
      <c r="AV15" s="45">
        <v>0.0</v>
      </c>
      <c r="AW15" s="45">
        <v>0.0</v>
      </c>
      <c r="AX15" s="45">
        <v>0.0</v>
      </c>
      <c r="AY15" s="45">
        <v>0.0</v>
      </c>
      <c r="AZ15" s="45">
        <v>0.0</v>
      </c>
      <c r="BA15" s="45">
        <v>0.0</v>
      </c>
      <c r="BB15" s="45">
        <v>0.0</v>
      </c>
      <c r="BC15" s="45">
        <v>0.0</v>
      </c>
      <c r="BD15" s="45"/>
      <c r="BE15" s="45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>
        <v>0.0</v>
      </c>
      <c r="DQ15" s="46">
        <v>0.0</v>
      </c>
      <c r="DR15" s="46">
        <v>0.0</v>
      </c>
      <c r="DS15" s="46">
        <v>0.0</v>
      </c>
      <c r="DT15" s="46">
        <v>0.0</v>
      </c>
      <c r="DU15" s="46">
        <v>0.0</v>
      </c>
      <c r="DV15" s="46">
        <v>0.0</v>
      </c>
      <c r="DW15" s="46">
        <v>0.0</v>
      </c>
      <c r="DX15" s="46">
        <v>0.0</v>
      </c>
      <c r="DY15" s="46">
        <v>0.0</v>
      </c>
      <c r="DZ15" s="46">
        <v>0.0</v>
      </c>
      <c r="EA15" s="46">
        <v>0.0</v>
      </c>
      <c r="EB15" s="46">
        <v>0.0</v>
      </c>
      <c r="EC15" s="46">
        <v>0.0</v>
      </c>
      <c r="ED15" s="46">
        <v>0.0</v>
      </c>
      <c r="EE15" s="46">
        <v>0.0</v>
      </c>
      <c r="EF15" s="46">
        <v>0.0</v>
      </c>
      <c r="EG15" s="46">
        <v>0.0</v>
      </c>
      <c r="EH15" s="46">
        <v>0.0</v>
      </c>
      <c r="EI15" s="46">
        <v>0.0</v>
      </c>
      <c r="EJ15" s="46">
        <v>0.0</v>
      </c>
      <c r="EK15" s="46">
        <v>0.0</v>
      </c>
      <c r="EL15" s="46">
        <v>0.0</v>
      </c>
      <c r="EM15" s="46">
        <v>0.0</v>
      </c>
      <c r="EN15" s="46">
        <v>0.0</v>
      </c>
      <c r="EO15" s="46">
        <v>0.0</v>
      </c>
      <c r="EP15" s="46">
        <v>0.0</v>
      </c>
      <c r="EQ15" s="46">
        <v>0.0</v>
      </c>
      <c r="ER15" s="46">
        <v>0.0</v>
      </c>
      <c r="ES15" s="46">
        <v>0.0</v>
      </c>
      <c r="ET15" s="46">
        <v>0.0</v>
      </c>
      <c r="EU15" s="45">
        <v>1.0</v>
      </c>
      <c r="EV15" s="45"/>
    </row>
    <row r="16" hidden="1">
      <c r="A16" s="35">
        <v>9.0</v>
      </c>
      <c r="B16" s="36">
        <v>10033.0</v>
      </c>
      <c r="C16" s="35" t="s">
        <v>54</v>
      </c>
      <c r="D16" s="37"/>
      <c r="E16" s="37"/>
      <c r="F16" s="35" t="s">
        <v>50</v>
      </c>
      <c r="G16" s="38"/>
      <c r="H16" s="38"/>
      <c r="I16" s="38"/>
      <c r="J16" s="38"/>
      <c r="K16" s="38" t="s">
        <v>43</v>
      </c>
      <c r="L16" s="38"/>
      <c r="M16" s="38" t="s">
        <v>43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9">
        <v>24.0</v>
      </c>
      <c r="AM16" s="39">
        <v>0.0</v>
      </c>
      <c r="AN16" s="39">
        <v>0.0</v>
      </c>
      <c r="AO16" s="39">
        <v>0.0</v>
      </c>
      <c r="AP16" s="39">
        <v>0.0</v>
      </c>
      <c r="AQ16" s="39">
        <v>0.0</v>
      </c>
      <c r="AR16" s="39"/>
      <c r="AS16" s="39">
        <v>2.0</v>
      </c>
      <c r="AT16" s="39">
        <v>0.0</v>
      </c>
      <c r="AU16" s="39">
        <v>0.0</v>
      </c>
      <c r="AV16" s="39">
        <v>0.0</v>
      </c>
      <c r="AW16" s="39">
        <v>0.0</v>
      </c>
      <c r="AX16" s="39">
        <v>0.0</v>
      </c>
      <c r="AY16" s="39">
        <v>0.0</v>
      </c>
      <c r="AZ16" s="39">
        <v>0.0</v>
      </c>
      <c r="BA16" s="39">
        <v>0.0</v>
      </c>
      <c r="BB16" s="39">
        <v>0.0</v>
      </c>
      <c r="BC16" s="39">
        <v>0.0</v>
      </c>
      <c r="BD16" s="39"/>
      <c r="BE16" s="39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>
        <v>0.0</v>
      </c>
      <c r="DQ16" s="40">
        <v>0.0</v>
      </c>
      <c r="DR16" s="40">
        <v>0.0</v>
      </c>
      <c r="DS16" s="40">
        <v>0.0</v>
      </c>
      <c r="DT16" s="40">
        <v>0.0</v>
      </c>
      <c r="DU16" s="40">
        <v>0.0</v>
      </c>
      <c r="DV16" s="40">
        <v>0.0</v>
      </c>
      <c r="DW16" s="40">
        <v>0.0</v>
      </c>
      <c r="DX16" s="40">
        <v>0.0</v>
      </c>
      <c r="DY16" s="40">
        <v>0.0</v>
      </c>
      <c r="DZ16" s="40">
        <v>0.0</v>
      </c>
      <c r="EA16" s="40">
        <v>0.0</v>
      </c>
      <c r="EB16" s="40">
        <v>0.0</v>
      </c>
      <c r="EC16" s="40">
        <v>0.0</v>
      </c>
      <c r="ED16" s="40">
        <v>0.0</v>
      </c>
      <c r="EE16" s="40">
        <v>0.0</v>
      </c>
      <c r="EF16" s="40">
        <v>0.0</v>
      </c>
      <c r="EG16" s="40">
        <v>0.0</v>
      </c>
      <c r="EH16" s="40">
        <v>0.0</v>
      </c>
      <c r="EI16" s="40">
        <v>0.0</v>
      </c>
      <c r="EJ16" s="40">
        <v>0.0</v>
      </c>
      <c r="EK16" s="40">
        <v>0.0</v>
      </c>
      <c r="EL16" s="40">
        <v>0.0</v>
      </c>
      <c r="EM16" s="40">
        <v>0.0</v>
      </c>
      <c r="EN16" s="40">
        <v>0.0</v>
      </c>
      <c r="EO16" s="40">
        <v>0.0</v>
      </c>
      <c r="EP16" s="40">
        <v>0.0</v>
      </c>
      <c r="EQ16" s="40">
        <v>0.0</v>
      </c>
      <c r="ER16" s="40">
        <v>0.0</v>
      </c>
      <c r="ES16" s="40">
        <v>0.0</v>
      </c>
      <c r="ET16" s="40">
        <v>0.0</v>
      </c>
      <c r="EU16" s="39">
        <v>1.0</v>
      </c>
      <c r="EV16" s="39"/>
    </row>
    <row r="17">
      <c r="A17" s="41">
        <v>8.0</v>
      </c>
      <c r="B17" s="42">
        <v>10044.0</v>
      </c>
      <c r="C17" s="41" t="s">
        <v>55</v>
      </c>
      <c r="D17" s="43"/>
      <c r="E17" s="48"/>
      <c r="F17" s="41" t="s">
        <v>50</v>
      </c>
      <c r="G17" s="44">
        <v>1.0000000000000002</v>
      </c>
      <c r="H17" s="44">
        <v>1.0000000000000002</v>
      </c>
      <c r="I17" s="44">
        <v>1.0000000000000002</v>
      </c>
      <c r="J17" s="44">
        <v>1.0000000000000002</v>
      </c>
      <c r="K17" s="44" t="s">
        <v>43</v>
      </c>
      <c r="L17" s="44"/>
      <c r="M17" s="44" t="s">
        <v>43</v>
      </c>
      <c r="N17" s="44"/>
      <c r="O17" s="44"/>
      <c r="P17" s="44">
        <v>1.0000000000000002</v>
      </c>
      <c r="Q17" s="44">
        <v>1.0000000000000002</v>
      </c>
      <c r="R17" s="44">
        <v>1.0000000000000002</v>
      </c>
      <c r="S17" s="44">
        <v>1.0000000000000002</v>
      </c>
      <c r="T17" s="44"/>
      <c r="U17" s="44">
        <v>1.0000000000000002</v>
      </c>
      <c r="V17" s="44">
        <v>0.5</v>
      </c>
      <c r="W17" s="44">
        <v>1.0000000000000002</v>
      </c>
      <c r="X17" s="44">
        <v>1.0000000000000002</v>
      </c>
      <c r="Y17" s="44">
        <v>1.0000000000000002</v>
      </c>
      <c r="Z17" s="44"/>
      <c r="AA17" s="44"/>
      <c r="AB17" s="44">
        <v>1.0000000000000002</v>
      </c>
      <c r="AC17" s="44">
        <v>1.0000000000000002</v>
      </c>
      <c r="AD17" s="44">
        <v>1.0000000000000002</v>
      </c>
      <c r="AE17" s="44">
        <v>1.0000000000000002</v>
      </c>
      <c r="AF17" s="44">
        <v>1.0000000000000002</v>
      </c>
      <c r="AG17" s="44">
        <v>1.0000000000000002</v>
      </c>
      <c r="AH17" s="44"/>
      <c r="AI17" s="44">
        <v>1.0000000000000002</v>
      </c>
      <c r="AJ17" s="44">
        <v>1.0000000000000002</v>
      </c>
      <c r="AK17" s="44">
        <v>1.0000000000000002</v>
      </c>
      <c r="AL17" s="45">
        <v>24.0</v>
      </c>
      <c r="AM17" s="45">
        <v>21.500000000000004</v>
      </c>
      <c r="AN17" s="45">
        <v>21.500000000000004</v>
      </c>
      <c r="AO17" s="45">
        <v>0.0</v>
      </c>
      <c r="AP17" s="45">
        <v>0.0</v>
      </c>
      <c r="AQ17" s="45">
        <v>0.0</v>
      </c>
      <c r="AR17" s="45"/>
      <c r="AS17" s="45">
        <v>2.0</v>
      </c>
      <c r="AT17" s="45">
        <v>0.0</v>
      </c>
      <c r="AU17" s="45">
        <v>1.0</v>
      </c>
      <c r="AV17" s="45">
        <v>0.0</v>
      </c>
      <c r="AW17" s="45">
        <v>0.0</v>
      </c>
      <c r="AX17" s="45">
        <v>0.0</v>
      </c>
      <c r="AY17" s="45">
        <v>0.0</v>
      </c>
      <c r="AZ17" s="45">
        <v>0.0</v>
      </c>
      <c r="BA17" s="45">
        <v>0.0</v>
      </c>
      <c r="BB17" s="45">
        <v>0.0</v>
      </c>
      <c r="BC17" s="45">
        <v>0.0</v>
      </c>
      <c r="BD17" s="45"/>
      <c r="BE17" s="45"/>
      <c r="BF17" s="46">
        <v>0.0</v>
      </c>
      <c r="BG17" s="46">
        <v>0.0</v>
      </c>
      <c r="BH17" s="46">
        <v>0.0</v>
      </c>
      <c r="BI17" s="46">
        <v>0.0</v>
      </c>
      <c r="BJ17" s="46"/>
      <c r="BK17" s="46"/>
      <c r="BL17" s="46"/>
      <c r="BM17" s="46"/>
      <c r="BN17" s="46"/>
      <c r="BO17" s="46">
        <v>0.0</v>
      </c>
      <c r="BP17" s="46">
        <v>0.0</v>
      </c>
      <c r="BQ17" s="46">
        <v>0.0</v>
      </c>
      <c r="BR17" s="46">
        <v>0.0</v>
      </c>
      <c r="BS17" s="46"/>
      <c r="BT17" s="46">
        <v>0.0</v>
      </c>
      <c r="BU17" s="46">
        <v>0.0</v>
      </c>
      <c r="BV17" s="46">
        <v>0.0</v>
      </c>
      <c r="BW17" s="46">
        <v>0.0</v>
      </c>
      <c r="BX17" s="46">
        <v>0.0</v>
      </c>
      <c r="BY17" s="46"/>
      <c r="BZ17" s="46"/>
      <c r="CA17" s="46">
        <v>0.0</v>
      </c>
      <c r="CB17" s="46">
        <v>0.0</v>
      </c>
      <c r="CC17" s="46">
        <v>0.0</v>
      </c>
      <c r="CD17" s="46">
        <v>0.0</v>
      </c>
      <c r="CE17" s="46">
        <v>0.0</v>
      </c>
      <c r="CF17" s="46">
        <v>0.0</v>
      </c>
      <c r="CG17" s="46"/>
      <c r="CH17" s="46">
        <v>1.0</v>
      </c>
      <c r="CI17" s="46">
        <v>0.0</v>
      </c>
      <c r="CJ17" s="46">
        <v>0.0</v>
      </c>
      <c r="CK17" s="46">
        <v>0.0</v>
      </c>
      <c r="CL17" s="46">
        <v>0.0</v>
      </c>
      <c r="CM17" s="46">
        <v>0.0</v>
      </c>
      <c r="CN17" s="46">
        <v>0.0</v>
      </c>
      <c r="CO17" s="46"/>
      <c r="CP17" s="46"/>
      <c r="CQ17" s="46"/>
      <c r="CR17" s="46"/>
      <c r="CS17" s="46"/>
      <c r="CT17" s="46">
        <v>0.0</v>
      </c>
      <c r="CU17" s="46">
        <v>0.0</v>
      </c>
      <c r="CV17" s="46">
        <v>0.0</v>
      </c>
      <c r="CW17" s="46">
        <v>0.0</v>
      </c>
      <c r="CX17" s="46"/>
      <c r="CY17" s="46">
        <v>0.0</v>
      </c>
      <c r="CZ17" s="46">
        <v>0.0</v>
      </c>
      <c r="DA17" s="46">
        <v>0.0</v>
      </c>
      <c r="DB17" s="46">
        <v>0.0</v>
      </c>
      <c r="DC17" s="46">
        <v>0.0</v>
      </c>
      <c r="DD17" s="46"/>
      <c r="DE17" s="46"/>
      <c r="DF17" s="46">
        <v>0.0</v>
      </c>
      <c r="DG17" s="46">
        <v>0.0</v>
      </c>
      <c r="DH17" s="46">
        <v>0.0</v>
      </c>
      <c r="DI17" s="46">
        <v>0.0</v>
      </c>
      <c r="DJ17" s="46">
        <v>0.0</v>
      </c>
      <c r="DK17" s="46">
        <v>0.0</v>
      </c>
      <c r="DL17" s="46"/>
      <c r="DM17" s="46">
        <v>0.0</v>
      </c>
      <c r="DN17" s="46">
        <v>0.0</v>
      </c>
      <c r="DO17" s="46">
        <v>0.0</v>
      </c>
      <c r="DP17" s="46">
        <v>0.0</v>
      </c>
      <c r="DQ17" s="46">
        <v>0.0</v>
      </c>
      <c r="DR17" s="46">
        <v>0.0</v>
      </c>
      <c r="DS17" s="46">
        <v>0.0</v>
      </c>
      <c r="DT17" s="46">
        <v>0.0</v>
      </c>
      <c r="DU17" s="46">
        <v>0.0</v>
      </c>
      <c r="DV17" s="46">
        <v>0.0</v>
      </c>
      <c r="DW17" s="46">
        <v>0.0</v>
      </c>
      <c r="DX17" s="46">
        <v>0.0</v>
      </c>
      <c r="DY17" s="46">
        <v>0.0</v>
      </c>
      <c r="DZ17" s="46">
        <v>0.0</v>
      </c>
      <c r="EA17" s="46">
        <v>0.0</v>
      </c>
      <c r="EB17" s="46">
        <v>0.0</v>
      </c>
      <c r="EC17" s="46">
        <v>0.0</v>
      </c>
      <c r="ED17" s="46">
        <v>0.0</v>
      </c>
      <c r="EE17" s="46">
        <v>0.0</v>
      </c>
      <c r="EF17" s="46">
        <v>0.0</v>
      </c>
      <c r="EG17" s="46">
        <v>0.0</v>
      </c>
      <c r="EH17" s="46">
        <v>0.0</v>
      </c>
      <c r="EI17" s="46">
        <v>0.0</v>
      </c>
      <c r="EJ17" s="46">
        <v>0.0</v>
      </c>
      <c r="EK17" s="46">
        <v>0.0</v>
      </c>
      <c r="EL17" s="46">
        <v>0.0</v>
      </c>
      <c r="EM17" s="46">
        <v>0.0</v>
      </c>
      <c r="EN17" s="46">
        <v>0.0</v>
      </c>
      <c r="EO17" s="46">
        <v>0.0</v>
      </c>
      <c r="EP17" s="46">
        <v>0.0</v>
      </c>
      <c r="EQ17" s="46">
        <v>0.0</v>
      </c>
      <c r="ER17" s="46">
        <v>0.0</v>
      </c>
      <c r="ES17" s="46">
        <v>0.0</v>
      </c>
      <c r="ET17" s="46">
        <v>0.0</v>
      </c>
      <c r="EU17" s="45">
        <v>22.000000000000004</v>
      </c>
      <c r="EV17" s="45"/>
    </row>
    <row r="18">
      <c r="A18" s="35">
        <v>9.0</v>
      </c>
      <c r="B18" s="36">
        <v>10384.0</v>
      </c>
      <c r="C18" s="35" t="s">
        <v>56</v>
      </c>
      <c r="D18" s="37"/>
      <c r="E18" s="47"/>
      <c r="F18" s="35" t="s">
        <v>57</v>
      </c>
      <c r="G18" s="38">
        <v>1.0</v>
      </c>
      <c r="H18" s="38">
        <v>1.0</v>
      </c>
      <c r="I18" s="38"/>
      <c r="J18" s="38"/>
      <c r="K18" s="38" t="s">
        <v>43</v>
      </c>
      <c r="L18" s="38"/>
      <c r="M18" s="38" t="s">
        <v>43</v>
      </c>
      <c r="N18" s="38"/>
      <c r="O18" s="38"/>
      <c r="P18" s="38">
        <v>1.0000000000000002</v>
      </c>
      <c r="Q18" s="38">
        <v>1.0000000000000002</v>
      </c>
      <c r="R18" s="38">
        <v>1.0000000000000002</v>
      </c>
      <c r="S18" s="38"/>
      <c r="T18" s="38"/>
      <c r="U18" s="38">
        <v>1.0000000000000002</v>
      </c>
      <c r="V18" s="38">
        <v>1.0000000000000002</v>
      </c>
      <c r="W18" s="38">
        <v>1.0000000000000002</v>
      </c>
      <c r="X18" s="38">
        <v>1.0000000000000002</v>
      </c>
      <c r="Y18" s="38">
        <v>1.0000000000000002</v>
      </c>
      <c r="Z18" s="38">
        <v>1.0</v>
      </c>
      <c r="AA18" s="38">
        <v>1.0000000000000002</v>
      </c>
      <c r="AB18" s="38">
        <v>1.0000000000000002</v>
      </c>
      <c r="AC18" s="38">
        <v>1.0000000000000002</v>
      </c>
      <c r="AD18" s="38">
        <v>1.0000000000000002</v>
      </c>
      <c r="AE18" s="38">
        <v>1.0000000000000002</v>
      </c>
      <c r="AF18" s="38">
        <v>1.0000000000000002</v>
      </c>
      <c r="AG18" s="38">
        <v>1.0000000000000002</v>
      </c>
      <c r="AH18" s="38">
        <v>1.0000000000000002</v>
      </c>
      <c r="AI18" s="38">
        <v>1.0000000000000002</v>
      </c>
      <c r="AJ18" s="38">
        <v>1.0000000000000002</v>
      </c>
      <c r="AK18" s="38">
        <v>1.0000000000000002</v>
      </c>
      <c r="AL18" s="39">
        <v>26.0</v>
      </c>
      <c r="AM18" s="39">
        <v>22.0</v>
      </c>
      <c r="AN18" s="39">
        <v>22.0</v>
      </c>
      <c r="AO18" s="39">
        <v>0.0</v>
      </c>
      <c r="AP18" s="39">
        <v>0.0</v>
      </c>
      <c r="AQ18" s="39">
        <v>0.0</v>
      </c>
      <c r="AR18" s="39"/>
      <c r="AS18" s="39">
        <v>2.0</v>
      </c>
      <c r="AT18" s="39">
        <v>0.0</v>
      </c>
      <c r="AU18" s="39">
        <v>0.0</v>
      </c>
      <c r="AV18" s="39">
        <v>0.0</v>
      </c>
      <c r="AW18" s="39">
        <v>0.0</v>
      </c>
      <c r="AX18" s="39">
        <v>0.0</v>
      </c>
      <c r="AY18" s="39">
        <v>0.0</v>
      </c>
      <c r="AZ18" s="39">
        <v>11.0</v>
      </c>
      <c r="BA18" s="39">
        <v>0.0</v>
      </c>
      <c r="BB18" s="39">
        <v>0.0</v>
      </c>
      <c r="BC18" s="39">
        <v>0.0</v>
      </c>
      <c r="BD18" s="39"/>
      <c r="BE18" s="39"/>
      <c r="BF18" s="40"/>
      <c r="BG18" s="40"/>
      <c r="BH18" s="40"/>
      <c r="BI18" s="40"/>
      <c r="BJ18" s="40"/>
      <c r="BK18" s="40"/>
      <c r="BL18" s="40"/>
      <c r="BM18" s="40"/>
      <c r="BN18" s="40" t="s">
        <v>28</v>
      </c>
      <c r="BO18" s="40">
        <v>0.0</v>
      </c>
      <c r="BP18" s="40">
        <v>0.0</v>
      </c>
      <c r="BQ18" s="40">
        <v>0.0</v>
      </c>
      <c r="BR18" s="40"/>
      <c r="BS18" s="40"/>
      <c r="BT18" s="40">
        <v>0.0</v>
      </c>
      <c r="BU18" s="40">
        <v>0.0</v>
      </c>
      <c r="BV18" s="40">
        <v>0.0</v>
      </c>
      <c r="BW18" s="40">
        <v>0.0</v>
      </c>
      <c r="BX18" s="40">
        <v>0.0</v>
      </c>
      <c r="BY18" s="40"/>
      <c r="BZ18" s="40">
        <v>0.0</v>
      </c>
      <c r="CA18" s="40">
        <v>0.0</v>
      </c>
      <c r="CB18" s="40">
        <v>0.0</v>
      </c>
      <c r="CC18" s="40">
        <v>0.0</v>
      </c>
      <c r="CD18" s="40">
        <v>0.0</v>
      </c>
      <c r="CE18" s="40">
        <v>0.0</v>
      </c>
      <c r="CF18" s="40">
        <v>0.0</v>
      </c>
      <c r="CG18" s="40">
        <v>0.0</v>
      </c>
      <c r="CH18" s="40">
        <v>0.0</v>
      </c>
      <c r="CI18" s="40">
        <v>0.0</v>
      </c>
      <c r="CJ18" s="40">
        <v>0.0</v>
      </c>
      <c r="CK18" s="40"/>
      <c r="CL18" s="40"/>
      <c r="CM18" s="40"/>
      <c r="CN18" s="40"/>
      <c r="CO18" s="40"/>
      <c r="CP18" s="40"/>
      <c r="CQ18" s="40"/>
      <c r="CR18" s="40"/>
      <c r="CS18" s="40">
        <v>1.0</v>
      </c>
      <c r="CT18" s="40">
        <v>0.0</v>
      </c>
      <c r="CU18" s="40">
        <v>0.0</v>
      </c>
      <c r="CV18" s="40">
        <v>0.0</v>
      </c>
      <c r="CW18" s="40"/>
      <c r="CX18" s="40"/>
      <c r="CY18" s="40">
        <v>0.0</v>
      </c>
      <c r="CZ18" s="40">
        <v>0.0</v>
      </c>
      <c r="DA18" s="40">
        <v>0.0</v>
      </c>
      <c r="DB18" s="40">
        <v>0.0</v>
      </c>
      <c r="DC18" s="40">
        <v>0.0</v>
      </c>
      <c r="DD18" s="40">
        <v>0.0</v>
      </c>
      <c r="DE18" s="40">
        <v>0.0</v>
      </c>
      <c r="DF18" s="40">
        <v>0.0</v>
      </c>
      <c r="DG18" s="40">
        <v>0.0</v>
      </c>
      <c r="DH18" s="40">
        <v>0.0</v>
      </c>
      <c r="DI18" s="40">
        <v>0.0</v>
      </c>
      <c r="DJ18" s="40">
        <v>0.0</v>
      </c>
      <c r="DK18" s="40">
        <v>0.0</v>
      </c>
      <c r="DL18" s="40">
        <v>0.0</v>
      </c>
      <c r="DM18" s="40">
        <v>0.0</v>
      </c>
      <c r="DN18" s="40">
        <v>0.0</v>
      </c>
      <c r="DO18" s="40">
        <v>0.0</v>
      </c>
      <c r="DP18" s="40">
        <v>0.0</v>
      </c>
      <c r="DQ18" s="40">
        <v>0.0</v>
      </c>
      <c r="DR18" s="40">
        <v>0.0</v>
      </c>
      <c r="DS18" s="40">
        <v>0.0</v>
      </c>
      <c r="DT18" s="40">
        <v>0.0</v>
      </c>
      <c r="DU18" s="40">
        <v>0.0</v>
      </c>
      <c r="DV18" s="40">
        <v>0.0</v>
      </c>
      <c r="DW18" s="40">
        <v>0.0</v>
      </c>
      <c r="DX18" s="40">
        <v>0.0</v>
      </c>
      <c r="DY18" s="40">
        <v>0.0</v>
      </c>
      <c r="DZ18" s="40">
        <v>1.0</v>
      </c>
      <c r="EA18" s="40">
        <v>0.0</v>
      </c>
      <c r="EB18" s="40">
        <v>0.0</v>
      </c>
      <c r="EC18" s="40">
        <v>0.0</v>
      </c>
      <c r="ED18" s="40">
        <v>1.0</v>
      </c>
      <c r="EE18" s="40">
        <v>0.0</v>
      </c>
      <c r="EF18" s="40">
        <v>0.0</v>
      </c>
      <c r="EG18" s="40">
        <v>0.0</v>
      </c>
      <c r="EH18" s="40">
        <v>0.0</v>
      </c>
      <c r="EI18" s="40">
        <v>1.0</v>
      </c>
      <c r="EJ18" s="40">
        <v>1.0</v>
      </c>
      <c r="EK18" s="40">
        <v>0.0</v>
      </c>
      <c r="EL18" s="40">
        <v>1.0</v>
      </c>
      <c r="EM18" s="40">
        <v>0.0</v>
      </c>
      <c r="EN18" s="40">
        <v>1.0</v>
      </c>
      <c r="EO18" s="40">
        <v>1.0</v>
      </c>
      <c r="EP18" s="40">
        <v>0.0</v>
      </c>
      <c r="EQ18" s="40">
        <v>1.0</v>
      </c>
      <c r="ER18" s="40">
        <v>1.0</v>
      </c>
      <c r="ES18" s="40">
        <v>1.0</v>
      </c>
      <c r="ET18" s="40">
        <v>1.0</v>
      </c>
      <c r="EU18" s="39">
        <v>23.0</v>
      </c>
      <c r="EV18" s="39"/>
    </row>
    <row r="19">
      <c r="A19" s="41">
        <v>10.0</v>
      </c>
      <c r="B19" s="42">
        <v>10404.0</v>
      </c>
      <c r="C19" s="41" t="s">
        <v>58</v>
      </c>
      <c r="D19" s="43"/>
      <c r="E19" s="43"/>
      <c r="F19" s="41" t="s">
        <v>50</v>
      </c>
      <c r="G19" s="44">
        <v>1.0000000000000002</v>
      </c>
      <c r="H19" s="44">
        <v>1.0000000000000002</v>
      </c>
      <c r="I19" s="44">
        <v>1.0000000000000002</v>
      </c>
      <c r="J19" s="44">
        <v>1.0000000000000002</v>
      </c>
      <c r="K19" s="44" t="s">
        <v>43</v>
      </c>
      <c r="L19" s="44"/>
      <c r="M19" s="44" t="s">
        <v>43</v>
      </c>
      <c r="N19" s="44"/>
      <c r="O19" s="44"/>
      <c r="P19" s="44">
        <v>1.0000000000000002</v>
      </c>
      <c r="Q19" s="44">
        <v>1.0000000000000002</v>
      </c>
      <c r="R19" s="44">
        <v>1.0000000000000002</v>
      </c>
      <c r="S19" s="44">
        <v>1.0000000000000002</v>
      </c>
      <c r="T19" s="44"/>
      <c r="U19" s="44">
        <v>1.0000000000000002</v>
      </c>
      <c r="V19" s="44">
        <v>1.0000000000000002</v>
      </c>
      <c r="W19" s="44">
        <v>1.0000000000000002</v>
      </c>
      <c r="X19" s="44">
        <v>0.9291666666666668</v>
      </c>
      <c r="Y19" s="44">
        <v>1.0000000000000002</v>
      </c>
      <c r="Z19" s="44"/>
      <c r="AA19" s="44"/>
      <c r="AB19" s="44">
        <v>1.0000000000000002</v>
      </c>
      <c r="AC19" s="44">
        <v>1.0000000000000002</v>
      </c>
      <c r="AD19" s="44">
        <v>1.0000000000000002</v>
      </c>
      <c r="AE19" s="44">
        <v>1.0000000000000002</v>
      </c>
      <c r="AF19" s="44">
        <v>1.0000000000000002</v>
      </c>
      <c r="AG19" s="44">
        <v>1.0000000000000002</v>
      </c>
      <c r="AH19" s="44"/>
      <c r="AI19" s="44">
        <v>1.0000000000000002</v>
      </c>
      <c r="AJ19" s="44">
        <v>1.0000000000000002</v>
      </c>
      <c r="AK19" s="44">
        <v>1.0000000000000002</v>
      </c>
      <c r="AL19" s="45">
        <v>24.0</v>
      </c>
      <c r="AM19" s="45">
        <v>20.92916666666667</v>
      </c>
      <c r="AN19" s="45">
        <v>21.92916666666667</v>
      </c>
      <c r="AO19" s="45">
        <v>0.0</v>
      </c>
      <c r="AP19" s="45">
        <v>0.0</v>
      </c>
      <c r="AQ19" s="45">
        <v>0.0</v>
      </c>
      <c r="AR19" s="45"/>
      <c r="AS19" s="45">
        <v>2.0</v>
      </c>
      <c r="AT19" s="45">
        <v>0.0</v>
      </c>
      <c r="AU19" s="45">
        <v>3.0</v>
      </c>
      <c r="AV19" s="45">
        <v>1.0</v>
      </c>
      <c r="AW19" s="45">
        <v>0.0</v>
      </c>
      <c r="AX19" s="45">
        <v>0.0</v>
      </c>
      <c r="AY19" s="45">
        <v>0.0</v>
      </c>
      <c r="AZ19" s="45">
        <v>0.0</v>
      </c>
      <c r="BA19" s="45">
        <v>0.0</v>
      </c>
      <c r="BB19" s="45">
        <v>0.0</v>
      </c>
      <c r="BC19" s="45">
        <v>0.0</v>
      </c>
      <c r="BD19" s="45"/>
      <c r="BE19" s="45"/>
      <c r="BF19" s="46">
        <v>0.0</v>
      </c>
      <c r="BG19" s="46">
        <v>0.0</v>
      </c>
      <c r="BH19" s="46">
        <v>0.0</v>
      </c>
      <c r="BI19" s="46">
        <v>0.0</v>
      </c>
      <c r="BJ19" s="46"/>
      <c r="BK19" s="46"/>
      <c r="BL19" s="46"/>
      <c r="BM19" s="46"/>
      <c r="BN19" s="46"/>
      <c r="BO19" s="46">
        <v>1.0</v>
      </c>
      <c r="BP19" s="46">
        <v>0.0</v>
      </c>
      <c r="BQ19" s="46">
        <v>0.0</v>
      </c>
      <c r="BR19" s="46">
        <v>0.0</v>
      </c>
      <c r="BS19" s="46"/>
      <c r="BT19" s="46">
        <v>1.0</v>
      </c>
      <c r="BU19" s="46">
        <v>0.0</v>
      </c>
      <c r="BV19" s="46">
        <v>0.0</v>
      </c>
      <c r="BW19" s="46">
        <v>0.0</v>
      </c>
      <c r="BX19" s="46">
        <v>0.0</v>
      </c>
      <c r="BY19" s="46"/>
      <c r="BZ19" s="46"/>
      <c r="CA19" s="46">
        <v>0.0</v>
      </c>
      <c r="CB19" s="46">
        <v>0.0</v>
      </c>
      <c r="CC19" s="46">
        <v>0.0</v>
      </c>
      <c r="CD19" s="46">
        <v>0.0</v>
      </c>
      <c r="CE19" s="46">
        <v>0.0</v>
      </c>
      <c r="CF19" s="46">
        <v>0.0</v>
      </c>
      <c r="CG19" s="46"/>
      <c r="CH19" s="46">
        <v>1.0</v>
      </c>
      <c r="CI19" s="46">
        <v>0.0</v>
      </c>
      <c r="CJ19" s="46">
        <v>0.0</v>
      </c>
      <c r="CK19" s="46">
        <v>0.0</v>
      </c>
      <c r="CL19" s="46">
        <v>0.0</v>
      </c>
      <c r="CM19" s="46">
        <v>0.0</v>
      </c>
      <c r="CN19" s="46">
        <v>0.0</v>
      </c>
      <c r="CO19" s="46"/>
      <c r="CP19" s="46"/>
      <c r="CQ19" s="46"/>
      <c r="CR19" s="46"/>
      <c r="CS19" s="46"/>
      <c r="CT19" s="46">
        <v>0.0</v>
      </c>
      <c r="CU19" s="46">
        <v>0.0</v>
      </c>
      <c r="CV19" s="46">
        <v>0.0</v>
      </c>
      <c r="CW19" s="46">
        <v>0.0</v>
      </c>
      <c r="CX19" s="46"/>
      <c r="CY19" s="46">
        <v>0.0</v>
      </c>
      <c r="CZ19" s="46">
        <v>0.0</v>
      </c>
      <c r="DA19" s="46">
        <v>0.0</v>
      </c>
      <c r="DB19" s="46">
        <v>0.0</v>
      </c>
      <c r="DC19" s="46">
        <v>0.0</v>
      </c>
      <c r="DD19" s="46"/>
      <c r="DE19" s="46"/>
      <c r="DF19" s="46">
        <v>0.0</v>
      </c>
      <c r="DG19" s="46">
        <v>0.0</v>
      </c>
      <c r="DH19" s="46">
        <v>0.0</v>
      </c>
      <c r="DI19" s="46">
        <v>0.0</v>
      </c>
      <c r="DJ19" s="46">
        <v>0.0</v>
      </c>
      <c r="DK19" s="46">
        <v>0.0</v>
      </c>
      <c r="DL19" s="46"/>
      <c r="DM19" s="46">
        <v>0.0</v>
      </c>
      <c r="DN19" s="46">
        <v>0.0</v>
      </c>
      <c r="DO19" s="46">
        <v>0.0</v>
      </c>
      <c r="DP19" s="46">
        <v>0.0</v>
      </c>
      <c r="DQ19" s="46">
        <v>0.0</v>
      </c>
      <c r="DR19" s="46">
        <v>0.0</v>
      </c>
      <c r="DS19" s="46">
        <v>0.0</v>
      </c>
      <c r="DT19" s="46">
        <v>0.0</v>
      </c>
      <c r="DU19" s="46">
        <v>0.0</v>
      </c>
      <c r="DV19" s="46">
        <v>0.0</v>
      </c>
      <c r="DW19" s="46">
        <v>0.0</v>
      </c>
      <c r="DX19" s="46">
        <v>0.0</v>
      </c>
      <c r="DY19" s="46">
        <v>0.0</v>
      </c>
      <c r="DZ19" s="46">
        <v>0.0</v>
      </c>
      <c r="EA19" s="46">
        <v>0.0</v>
      </c>
      <c r="EB19" s="46">
        <v>0.0</v>
      </c>
      <c r="EC19" s="46">
        <v>0.0</v>
      </c>
      <c r="ED19" s="46">
        <v>0.0</v>
      </c>
      <c r="EE19" s="46">
        <v>0.0</v>
      </c>
      <c r="EF19" s="46">
        <v>0.0</v>
      </c>
      <c r="EG19" s="46">
        <v>0.0</v>
      </c>
      <c r="EH19" s="46">
        <v>0.0</v>
      </c>
      <c r="EI19" s="46">
        <v>0.0</v>
      </c>
      <c r="EJ19" s="46">
        <v>0.0</v>
      </c>
      <c r="EK19" s="46">
        <v>0.0</v>
      </c>
      <c r="EL19" s="46">
        <v>0.0</v>
      </c>
      <c r="EM19" s="46">
        <v>0.0</v>
      </c>
      <c r="EN19" s="46">
        <v>0.0</v>
      </c>
      <c r="EO19" s="46">
        <v>0.0</v>
      </c>
      <c r="EP19" s="46">
        <v>0.0</v>
      </c>
      <c r="EQ19" s="46">
        <v>0.0</v>
      </c>
      <c r="ER19" s="46">
        <v>0.0</v>
      </c>
      <c r="ES19" s="46">
        <v>0.0</v>
      </c>
      <c r="ET19" s="46">
        <v>0.0</v>
      </c>
      <c r="EU19" s="45">
        <v>22.000000000000004</v>
      </c>
      <c r="EV19" s="45"/>
    </row>
    <row r="20">
      <c r="A20" s="35">
        <v>11.0</v>
      </c>
      <c r="B20" s="36">
        <v>10406.0</v>
      </c>
      <c r="C20" s="35" t="s">
        <v>59</v>
      </c>
      <c r="D20" s="37"/>
      <c r="E20" s="37"/>
      <c r="F20" s="35" t="s">
        <v>50</v>
      </c>
      <c r="G20" s="38">
        <v>1.0000000000000002</v>
      </c>
      <c r="H20" s="38">
        <v>1.0000000000000002</v>
      </c>
      <c r="I20" s="38">
        <v>1.0000000000000002</v>
      </c>
      <c r="J20" s="38">
        <v>1.0000000000000002</v>
      </c>
      <c r="K20" s="38" t="s">
        <v>60</v>
      </c>
      <c r="L20" s="38"/>
      <c r="M20" s="38" t="s">
        <v>43</v>
      </c>
      <c r="N20" s="38"/>
      <c r="O20" s="38"/>
      <c r="P20" s="38">
        <v>1.0000000000000002</v>
      </c>
      <c r="Q20" s="38">
        <v>1.0000000000000002</v>
      </c>
      <c r="R20" s="38">
        <v>1.0000000000000002</v>
      </c>
      <c r="S20" s="38">
        <v>1.0000000000000002</v>
      </c>
      <c r="T20" s="38">
        <v>1.0</v>
      </c>
      <c r="U20" s="38">
        <v>1.0000000000000002</v>
      </c>
      <c r="V20" s="38">
        <v>1.0000000000000002</v>
      </c>
      <c r="W20" s="38">
        <v>1.0000000000000002</v>
      </c>
      <c r="X20" s="38">
        <v>1.0000000000000002</v>
      </c>
      <c r="Y20" s="38">
        <v>1.0000000000000002</v>
      </c>
      <c r="Z20" s="38">
        <v>1.0</v>
      </c>
      <c r="AA20" s="38"/>
      <c r="AB20" s="38">
        <v>1.0000000000000002</v>
      </c>
      <c r="AC20" s="38">
        <v>1.0000000000000002</v>
      </c>
      <c r="AD20" s="38">
        <v>1.0000000000000002</v>
      </c>
      <c r="AE20" s="38">
        <v>1.0000000000000002</v>
      </c>
      <c r="AF20" s="38">
        <v>1.0000000000000002</v>
      </c>
      <c r="AG20" s="38">
        <v>1.0000000000000002</v>
      </c>
      <c r="AH20" s="38">
        <v>1.0</v>
      </c>
      <c r="AI20" s="38">
        <v>1.0000000000000002</v>
      </c>
      <c r="AJ20" s="38">
        <v>1.0000000000000002</v>
      </c>
      <c r="AK20" s="38">
        <v>1.0000000000000002</v>
      </c>
      <c r="AL20" s="39">
        <v>24.0</v>
      </c>
      <c r="AM20" s="39">
        <v>22.000000000000004</v>
      </c>
      <c r="AN20" s="39">
        <v>22.000000000000004</v>
      </c>
      <c r="AO20" s="39">
        <v>0.0</v>
      </c>
      <c r="AP20" s="39">
        <v>0.0</v>
      </c>
      <c r="AQ20" s="39">
        <v>0.0</v>
      </c>
      <c r="AR20" s="49">
        <v>1.5</v>
      </c>
      <c r="AS20" s="49">
        <v>1.5</v>
      </c>
      <c r="AT20" s="39">
        <v>0.0</v>
      </c>
      <c r="AU20" s="39">
        <v>0.0</v>
      </c>
      <c r="AV20" s="39">
        <v>0.0</v>
      </c>
      <c r="AW20" s="39">
        <v>3.0</v>
      </c>
      <c r="AX20" s="39">
        <v>0.0</v>
      </c>
      <c r="AY20" s="39">
        <v>0.0</v>
      </c>
      <c r="AZ20" s="39">
        <v>0.0</v>
      </c>
      <c r="BA20" s="39">
        <v>1.0</v>
      </c>
      <c r="BB20" s="39">
        <v>0.0</v>
      </c>
      <c r="BC20" s="39">
        <v>0.0</v>
      </c>
      <c r="BD20" s="39"/>
      <c r="BE20" s="39"/>
      <c r="BF20" s="40">
        <v>0.0</v>
      </c>
      <c r="BG20" s="40">
        <v>0.0</v>
      </c>
      <c r="BH20" s="40">
        <v>0.0</v>
      </c>
      <c r="BI20" s="40">
        <v>0.0</v>
      </c>
      <c r="BJ20" s="40" t="s">
        <v>28</v>
      </c>
      <c r="BK20" s="40"/>
      <c r="BL20" s="40"/>
      <c r="BM20" s="40"/>
      <c r="BN20" s="40"/>
      <c r="BO20" s="40">
        <v>0.0</v>
      </c>
      <c r="BP20" s="40">
        <v>0.0</v>
      </c>
      <c r="BQ20" s="40">
        <v>0.0</v>
      </c>
      <c r="BR20" s="40">
        <v>0.0</v>
      </c>
      <c r="BS20" s="40">
        <v>0.0</v>
      </c>
      <c r="BT20" s="40">
        <v>0.0</v>
      </c>
      <c r="BU20" s="40">
        <v>0.0</v>
      </c>
      <c r="BV20" s="40">
        <v>0.0</v>
      </c>
      <c r="BW20" s="40">
        <v>0.0</v>
      </c>
      <c r="BX20" s="40">
        <v>0.0</v>
      </c>
      <c r="BY20" s="40">
        <v>0.0</v>
      </c>
      <c r="BZ20" s="40"/>
      <c r="CA20" s="40">
        <v>0.0</v>
      </c>
      <c r="CB20" s="40">
        <v>0.0</v>
      </c>
      <c r="CC20" s="40">
        <v>0.0</v>
      </c>
      <c r="CD20" s="40">
        <v>0.0</v>
      </c>
      <c r="CE20" s="40">
        <v>0.0</v>
      </c>
      <c r="CF20" s="40">
        <v>0.0</v>
      </c>
      <c r="CG20" s="40">
        <v>0.0</v>
      </c>
      <c r="CH20" s="40">
        <v>0.0</v>
      </c>
      <c r="CI20" s="40">
        <v>0.0</v>
      </c>
      <c r="CJ20" s="40">
        <v>0.0</v>
      </c>
      <c r="CK20" s="40">
        <v>0.0</v>
      </c>
      <c r="CL20" s="40">
        <v>0.0</v>
      </c>
      <c r="CM20" s="40">
        <v>0.0</v>
      </c>
      <c r="CN20" s="40">
        <v>0.0</v>
      </c>
      <c r="CO20" s="40">
        <v>0.0</v>
      </c>
      <c r="CP20" s="40"/>
      <c r="CQ20" s="40"/>
      <c r="CR20" s="40"/>
      <c r="CS20" s="40"/>
      <c r="CT20" s="40">
        <v>0.0</v>
      </c>
      <c r="CU20" s="40">
        <v>0.0</v>
      </c>
      <c r="CV20" s="40">
        <v>0.0</v>
      </c>
      <c r="CW20" s="40">
        <v>0.0</v>
      </c>
      <c r="CX20" s="40">
        <v>0.0</v>
      </c>
      <c r="CY20" s="40">
        <v>0.0</v>
      </c>
      <c r="CZ20" s="40">
        <v>0.0</v>
      </c>
      <c r="DA20" s="40">
        <v>0.0</v>
      </c>
      <c r="DB20" s="40">
        <v>0.0</v>
      </c>
      <c r="DC20" s="40">
        <v>0.0</v>
      </c>
      <c r="DD20" s="40">
        <v>0.0</v>
      </c>
      <c r="DE20" s="40"/>
      <c r="DF20" s="40">
        <v>0.0</v>
      </c>
      <c r="DG20" s="40">
        <v>0.0</v>
      </c>
      <c r="DH20" s="40">
        <v>0.0</v>
      </c>
      <c r="DI20" s="40">
        <v>0.0</v>
      </c>
      <c r="DJ20" s="40">
        <v>0.0</v>
      </c>
      <c r="DK20" s="40">
        <v>0.0</v>
      </c>
      <c r="DL20" s="40">
        <v>0.0</v>
      </c>
      <c r="DM20" s="40">
        <v>0.0</v>
      </c>
      <c r="DN20" s="40">
        <v>0.0</v>
      </c>
      <c r="DO20" s="40">
        <v>0.0</v>
      </c>
      <c r="DP20" s="40">
        <v>0.0</v>
      </c>
      <c r="DQ20" s="40">
        <v>0.0</v>
      </c>
      <c r="DR20" s="40">
        <v>0.0</v>
      </c>
      <c r="DS20" s="40">
        <v>0.0</v>
      </c>
      <c r="DT20" s="40">
        <v>0.0</v>
      </c>
      <c r="DU20" s="40">
        <v>0.0</v>
      </c>
      <c r="DV20" s="40">
        <v>0.0</v>
      </c>
      <c r="DW20" s="40">
        <v>0.0</v>
      </c>
      <c r="DX20" s="40">
        <v>0.0</v>
      </c>
      <c r="DY20" s="40">
        <v>0.0</v>
      </c>
      <c r="DZ20" s="40">
        <v>0.0</v>
      </c>
      <c r="EA20" s="40">
        <v>0.0</v>
      </c>
      <c r="EB20" s="40">
        <v>0.0</v>
      </c>
      <c r="EC20" s="40">
        <v>0.0</v>
      </c>
      <c r="ED20" s="40">
        <v>0.0</v>
      </c>
      <c r="EE20" s="40">
        <v>0.0</v>
      </c>
      <c r="EF20" s="40">
        <v>0.0</v>
      </c>
      <c r="EG20" s="40">
        <v>0.0</v>
      </c>
      <c r="EH20" s="40">
        <v>0.0</v>
      </c>
      <c r="EI20" s="40">
        <v>0.0</v>
      </c>
      <c r="EJ20" s="40">
        <v>0.0</v>
      </c>
      <c r="EK20" s="40">
        <v>0.0</v>
      </c>
      <c r="EL20" s="40">
        <v>0.0</v>
      </c>
      <c r="EM20" s="40">
        <v>0.0</v>
      </c>
      <c r="EN20" s="40">
        <v>0.0</v>
      </c>
      <c r="EO20" s="40">
        <v>0.0</v>
      </c>
      <c r="EP20" s="40">
        <v>0.0</v>
      </c>
      <c r="EQ20" s="40">
        <v>0.0</v>
      </c>
      <c r="ER20" s="40">
        <v>0.0</v>
      </c>
      <c r="ES20" s="40">
        <v>0.0</v>
      </c>
      <c r="ET20" s="40">
        <v>0.0</v>
      </c>
      <c r="EU20" s="39">
        <v>26.000000000000004</v>
      </c>
      <c r="EV20" s="39"/>
    </row>
    <row r="21">
      <c r="A21" s="41">
        <v>12.0</v>
      </c>
      <c r="B21" s="42">
        <v>10407.0</v>
      </c>
      <c r="C21" s="41" t="s">
        <v>61</v>
      </c>
      <c r="D21" s="43"/>
      <c r="E21" s="43"/>
      <c r="F21" s="41" t="s">
        <v>50</v>
      </c>
      <c r="G21" s="44">
        <v>1.0000000000000002</v>
      </c>
      <c r="H21" s="44">
        <v>1.0000000000000002</v>
      </c>
      <c r="I21" s="44">
        <v>1.0000000000000002</v>
      </c>
      <c r="J21" s="44">
        <v>1.0000000000000002</v>
      </c>
      <c r="K21" s="44" t="s">
        <v>43</v>
      </c>
      <c r="L21" s="44"/>
      <c r="M21" s="44" t="s">
        <v>43</v>
      </c>
      <c r="N21" s="44"/>
      <c r="O21" s="44"/>
      <c r="P21" s="44">
        <v>1.0000000000000002</v>
      </c>
      <c r="Q21" s="44">
        <v>1.0000000000000002</v>
      </c>
      <c r="R21" s="44">
        <v>1.0000000000000002</v>
      </c>
      <c r="S21" s="44">
        <v>1.0000000000000002</v>
      </c>
      <c r="T21" s="44"/>
      <c r="U21" s="44">
        <v>1.0000000000000002</v>
      </c>
      <c r="V21" s="44">
        <v>1.0000000000000002</v>
      </c>
      <c r="W21" s="44">
        <v>0.5</v>
      </c>
      <c r="X21" s="44">
        <v>1.0000000000000002</v>
      </c>
      <c r="Y21" s="44">
        <v>1.0000000000000002</v>
      </c>
      <c r="Z21" s="44"/>
      <c r="AA21" s="44"/>
      <c r="AB21" s="44">
        <v>1.0000000000000002</v>
      </c>
      <c r="AC21" s="44">
        <v>1.0000000000000002</v>
      </c>
      <c r="AD21" s="44">
        <v>1.0000000000000002</v>
      </c>
      <c r="AE21" s="44">
        <v>1.0000000000000002</v>
      </c>
      <c r="AF21" s="44">
        <v>1.0</v>
      </c>
      <c r="AG21" s="44"/>
      <c r="AH21" s="44"/>
      <c r="AI21" s="44">
        <v>1.0000000000000002</v>
      </c>
      <c r="AJ21" s="44">
        <v>1.0000000000000002</v>
      </c>
      <c r="AK21" s="44">
        <v>1.0000000000000002</v>
      </c>
      <c r="AL21" s="45">
        <v>24.0</v>
      </c>
      <c r="AM21" s="45">
        <v>20.500000000000004</v>
      </c>
      <c r="AN21" s="45">
        <v>20.500000000000004</v>
      </c>
      <c r="AO21" s="45">
        <v>0.0</v>
      </c>
      <c r="AP21" s="45">
        <v>0.0</v>
      </c>
      <c r="AQ21" s="45">
        <v>0.0</v>
      </c>
      <c r="AR21" s="45"/>
      <c r="AS21" s="45">
        <v>2.0</v>
      </c>
      <c r="AT21" s="45">
        <v>0.0</v>
      </c>
      <c r="AU21" s="45">
        <v>1.0</v>
      </c>
      <c r="AV21" s="45">
        <v>0.0</v>
      </c>
      <c r="AW21" s="45">
        <v>0.0</v>
      </c>
      <c r="AX21" s="45">
        <v>0.0</v>
      </c>
      <c r="AY21" s="45">
        <v>0.0</v>
      </c>
      <c r="AZ21" s="45">
        <v>0.0</v>
      </c>
      <c r="BA21" s="45">
        <v>0.0</v>
      </c>
      <c r="BB21" s="45">
        <v>0.0</v>
      </c>
      <c r="BC21" s="45">
        <v>0.0</v>
      </c>
      <c r="BD21" s="45"/>
      <c r="BE21" s="45"/>
      <c r="BF21" s="46">
        <v>0.0</v>
      </c>
      <c r="BG21" s="46">
        <v>1.0</v>
      </c>
      <c r="BH21" s="46">
        <v>0.0</v>
      </c>
      <c r="BI21" s="46">
        <v>0.0</v>
      </c>
      <c r="BJ21" s="46"/>
      <c r="BK21" s="46"/>
      <c r="BL21" s="46"/>
      <c r="BM21" s="46"/>
      <c r="BN21" s="46"/>
      <c r="BO21" s="46">
        <v>0.0</v>
      </c>
      <c r="BP21" s="46">
        <v>0.0</v>
      </c>
      <c r="BQ21" s="46">
        <v>0.0</v>
      </c>
      <c r="BR21" s="46">
        <v>0.0</v>
      </c>
      <c r="BS21" s="46"/>
      <c r="BT21" s="46">
        <v>0.0</v>
      </c>
      <c r="BU21" s="46">
        <v>0.0</v>
      </c>
      <c r="BV21" s="46" t="s">
        <v>28</v>
      </c>
      <c r="BW21" s="46">
        <v>0.0</v>
      </c>
      <c r="BX21" s="46">
        <v>0.0</v>
      </c>
      <c r="BY21" s="46"/>
      <c r="BZ21" s="46"/>
      <c r="CA21" s="46">
        <v>0.0</v>
      </c>
      <c r="CB21" s="46">
        <v>0.0</v>
      </c>
      <c r="CC21" s="46">
        <v>0.0</v>
      </c>
      <c r="CD21" s="46">
        <v>0.0</v>
      </c>
      <c r="CE21" s="46" t="s">
        <v>28</v>
      </c>
      <c r="CF21" s="46"/>
      <c r="CG21" s="46"/>
      <c r="CH21" s="46">
        <v>0.0</v>
      </c>
      <c r="CI21" s="46">
        <v>0.0</v>
      </c>
      <c r="CJ21" s="46">
        <v>0.0</v>
      </c>
      <c r="CK21" s="46">
        <v>0.0</v>
      </c>
      <c r="CL21" s="46">
        <v>0.0</v>
      </c>
      <c r="CM21" s="46">
        <v>0.0</v>
      </c>
      <c r="CN21" s="46">
        <v>0.0</v>
      </c>
      <c r="CO21" s="46"/>
      <c r="CP21" s="46"/>
      <c r="CQ21" s="46"/>
      <c r="CR21" s="46"/>
      <c r="CS21" s="46"/>
      <c r="CT21" s="46">
        <v>0.0</v>
      </c>
      <c r="CU21" s="46">
        <v>0.0</v>
      </c>
      <c r="CV21" s="46">
        <v>0.0</v>
      </c>
      <c r="CW21" s="46">
        <v>0.0</v>
      </c>
      <c r="CX21" s="46"/>
      <c r="CY21" s="46">
        <v>0.0</v>
      </c>
      <c r="CZ21" s="46">
        <v>0.0</v>
      </c>
      <c r="DA21" s="46">
        <v>1.0</v>
      </c>
      <c r="DB21" s="46">
        <v>0.0</v>
      </c>
      <c r="DC21" s="46">
        <v>0.0</v>
      </c>
      <c r="DD21" s="46"/>
      <c r="DE21" s="46"/>
      <c r="DF21" s="46">
        <v>0.0</v>
      </c>
      <c r="DG21" s="46">
        <v>0.0</v>
      </c>
      <c r="DH21" s="46">
        <v>0.0</v>
      </c>
      <c r="DI21" s="46">
        <v>0.0</v>
      </c>
      <c r="DJ21" s="46"/>
      <c r="DK21" s="46"/>
      <c r="DL21" s="46"/>
      <c r="DM21" s="46">
        <v>0.0</v>
      </c>
      <c r="DN21" s="46">
        <v>0.0</v>
      </c>
      <c r="DO21" s="46">
        <v>0.0</v>
      </c>
      <c r="DP21" s="46">
        <v>0.0</v>
      </c>
      <c r="DQ21" s="46">
        <v>0.0</v>
      </c>
      <c r="DR21" s="46">
        <v>0.0</v>
      </c>
      <c r="DS21" s="46">
        <v>0.0</v>
      </c>
      <c r="DT21" s="46">
        <v>0.0</v>
      </c>
      <c r="DU21" s="46">
        <v>0.0</v>
      </c>
      <c r="DV21" s="46">
        <v>0.0</v>
      </c>
      <c r="DW21" s="46">
        <v>0.0</v>
      </c>
      <c r="DX21" s="46">
        <v>0.0</v>
      </c>
      <c r="DY21" s="46">
        <v>0.0</v>
      </c>
      <c r="DZ21" s="46">
        <v>0.0</v>
      </c>
      <c r="EA21" s="46">
        <v>0.0</v>
      </c>
      <c r="EB21" s="46">
        <v>0.0</v>
      </c>
      <c r="EC21" s="46">
        <v>0.0</v>
      </c>
      <c r="ED21" s="46">
        <v>0.0</v>
      </c>
      <c r="EE21" s="46">
        <v>0.0</v>
      </c>
      <c r="EF21" s="46">
        <v>0.0</v>
      </c>
      <c r="EG21" s="46">
        <v>0.0</v>
      </c>
      <c r="EH21" s="46">
        <v>0.0</v>
      </c>
      <c r="EI21" s="46">
        <v>0.0</v>
      </c>
      <c r="EJ21" s="46">
        <v>0.0</v>
      </c>
      <c r="EK21" s="46">
        <v>0.0</v>
      </c>
      <c r="EL21" s="46">
        <v>0.0</v>
      </c>
      <c r="EM21" s="46">
        <v>0.0</v>
      </c>
      <c r="EN21" s="46">
        <v>0.0</v>
      </c>
      <c r="EO21" s="46">
        <v>0.0</v>
      </c>
      <c r="EP21" s="46">
        <v>0.0</v>
      </c>
      <c r="EQ21" s="46">
        <v>0.0</v>
      </c>
      <c r="ER21" s="46">
        <v>0.0</v>
      </c>
      <c r="ES21" s="46">
        <v>0.0</v>
      </c>
      <c r="ET21" s="46">
        <v>0.0</v>
      </c>
      <c r="EU21" s="45">
        <v>21.000000000000004</v>
      </c>
      <c r="EV21" s="45"/>
    </row>
    <row r="22">
      <c r="A22" s="35">
        <v>13.0</v>
      </c>
      <c r="B22" s="36">
        <v>10408.0</v>
      </c>
      <c r="C22" s="35" t="s">
        <v>62</v>
      </c>
      <c r="D22" s="37"/>
      <c r="E22" s="37"/>
      <c r="F22" s="35" t="s">
        <v>50</v>
      </c>
      <c r="G22" s="38">
        <v>1.0000000000000002</v>
      </c>
      <c r="H22" s="38">
        <v>1.0000000000000002</v>
      </c>
      <c r="I22" s="38">
        <v>1.0000000000000002</v>
      </c>
      <c r="J22" s="38">
        <v>1.0000000000000002</v>
      </c>
      <c r="K22" s="38" t="s">
        <v>43</v>
      </c>
      <c r="L22" s="38"/>
      <c r="M22" s="38" t="s">
        <v>43</v>
      </c>
      <c r="N22" s="38"/>
      <c r="O22" s="38"/>
      <c r="P22" s="38">
        <v>1.0000000000000002</v>
      </c>
      <c r="Q22" s="38">
        <v>1.0000000000000002</v>
      </c>
      <c r="R22" s="38">
        <v>1.0000000000000002</v>
      </c>
      <c r="S22" s="38">
        <v>1.0000000000000002</v>
      </c>
      <c r="T22" s="38"/>
      <c r="U22" s="38">
        <v>1.0000000000000002</v>
      </c>
      <c r="V22" s="38">
        <v>1.0000000000000002</v>
      </c>
      <c r="W22" s="38">
        <v>1.0000000000000002</v>
      </c>
      <c r="X22" s="38">
        <v>1.0000000000000002</v>
      </c>
      <c r="Y22" s="38">
        <v>1.0000000000000002</v>
      </c>
      <c r="Z22" s="38">
        <v>1.0</v>
      </c>
      <c r="AA22" s="38"/>
      <c r="AB22" s="38">
        <v>1.0000000000000002</v>
      </c>
      <c r="AC22" s="38">
        <v>1.0000000000000002</v>
      </c>
      <c r="AD22" s="38">
        <v>1.0000000000000002</v>
      </c>
      <c r="AE22" s="38">
        <v>1.0000000000000002</v>
      </c>
      <c r="AF22" s="38">
        <v>1.0000000000000002</v>
      </c>
      <c r="AG22" s="38">
        <v>1.0000000000000002</v>
      </c>
      <c r="AH22" s="38"/>
      <c r="AI22" s="38">
        <v>1.0000000000000002</v>
      </c>
      <c r="AJ22" s="38">
        <v>1.0000000000000002</v>
      </c>
      <c r="AK22" s="38">
        <v>1.0000000000000002</v>
      </c>
      <c r="AL22" s="39">
        <v>24.0</v>
      </c>
      <c r="AM22" s="49">
        <v>23.0</v>
      </c>
      <c r="AN22" s="49">
        <v>23.0</v>
      </c>
      <c r="AO22" s="39">
        <v>0.0</v>
      </c>
      <c r="AP22" s="39">
        <v>0.0</v>
      </c>
      <c r="AQ22" s="39">
        <v>0.0</v>
      </c>
      <c r="AR22" s="39"/>
      <c r="AS22" s="39">
        <v>2.0</v>
      </c>
      <c r="AT22" s="39">
        <v>0.0</v>
      </c>
      <c r="AU22" s="39">
        <v>0.0</v>
      </c>
      <c r="AV22" s="39">
        <v>0.0</v>
      </c>
      <c r="AW22" s="39">
        <v>0.0</v>
      </c>
      <c r="AX22" s="39">
        <v>0.0</v>
      </c>
      <c r="AY22" s="39">
        <v>0.0</v>
      </c>
      <c r="AZ22" s="39">
        <v>0.0</v>
      </c>
      <c r="BA22" s="39">
        <v>0.0</v>
      </c>
      <c r="BB22" s="39">
        <v>0.0</v>
      </c>
      <c r="BC22" s="39">
        <v>0.0</v>
      </c>
      <c r="BD22" s="39"/>
      <c r="BE22" s="39"/>
      <c r="BF22" s="40">
        <v>0.0</v>
      </c>
      <c r="BG22" s="40">
        <v>0.0</v>
      </c>
      <c r="BH22" s="40">
        <v>0.0</v>
      </c>
      <c r="BI22" s="40">
        <v>0.0</v>
      </c>
      <c r="BJ22" s="40"/>
      <c r="BK22" s="40"/>
      <c r="BL22" s="40"/>
      <c r="BM22" s="40"/>
      <c r="BN22" s="40"/>
      <c r="BO22" s="40">
        <v>0.0</v>
      </c>
      <c r="BP22" s="40">
        <v>0.0</v>
      </c>
      <c r="BQ22" s="40">
        <v>0.0</v>
      </c>
      <c r="BR22" s="40">
        <v>0.0</v>
      </c>
      <c r="BS22" s="40"/>
      <c r="BT22" s="40">
        <v>0.0</v>
      </c>
      <c r="BU22" s="40">
        <v>0.0</v>
      </c>
      <c r="BV22" s="40">
        <v>0.0</v>
      </c>
      <c r="BW22" s="40">
        <v>0.0</v>
      </c>
      <c r="BX22" s="40">
        <v>0.0</v>
      </c>
      <c r="BY22" s="40" t="s">
        <v>28</v>
      </c>
      <c r="BZ22" s="40"/>
      <c r="CA22" s="40">
        <v>0.0</v>
      </c>
      <c r="CB22" s="40">
        <v>0.0</v>
      </c>
      <c r="CC22" s="40">
        <v>0.0</v>
      </c>
      <c r="CD22" s="40">
        <v>0.0</v>
      </c>
      <c r="CE22" s="40">
        <v>0.0</v>
      </c>
      <c r="CF22" s="40">
        <v>0.0</v>
      </c>
      <c r="CG22" s="40"/>
      <c r="CH22" s="40">
        <v>0.0</v>
      </c>
      <c r="CI22" s="40">
        <v>0.0</v>
      </c>
      <c r="CJ22" s="40">
        <v>0.0</v>
      </c>
      <c r="CK22" s="40">
        <v>0.0</v>
      </c>
      <c r="CL22" s="40">
        <v>0.0</v>
      </c>
      <c r="CM22" s="40">
        <v>0.0</v>
      </c>
      <c r="CN22" s="40">
        <v>0.0</v>
      </c>
      <c r="CO22" s="40"/>
      <c r="CP22" s="40"/>
      <c r="CQ22" s="40"/>
      <c r="CR22" s="40"/>
      <c r="CS22" s="40"/>
      <c r="CT22" s="40">
        <v>0.0</v>
      </c>
      <c r="CU22" s="40">
        <v>0.0</v>
      </c>
      <c r="CV22" s="40">
        <v>0.0</v>
      </c>
      <c r="CW22" s="40">
        <v>0.0</v>
      </c>
      <c r="CX22" s="40"/>
      <c r="CY22" s="40">
        <v>0.0</v>
      </c>
      <c r="CZ22" s="40">
        <v>0.0</v>
      </c>
      <c r="DA22" s="40">
        <v>0.0</v>
      </c>
      <c r="DB22" s="40">
        <v>0.0</v>
      </c>
      <c r="DC22" s="40">
        <v>0.0</v>
      </c>
      <c r="DD22" s="40"/>
      <c r="DE22" s="40"/>
      <c r="DF22" s="40">
        <v>0.0</v>
      </c>
      <c r="DG22" s="40">
        <v>0.0</v>
      </c>
      <c r="DH22" s="40">
        <v>0.0</v>
      </c>
      <c r="DI22" s="40">
        <v>0.0</v>
      </c>
      <c r="DJ22" s="40">
        <v>0.0</v>
      </c>
      <c r="DK22" s="40">
        <v>0.0</v>
      </c>
      <c r="DL22" s="40"/>
      <c r="DM22" s="40">
        <v>0.0</v>
      </c>
      <c r="DN22" s="40">
        <v>0.0</v>
      </c>
      <c r="DO22" s="40">
        <v>0.0</v>
      </c>
      <c r="DP22" s="40">
        <v>0.0</v>
      </c>
      <c r="DQ22" s="40">
        <v>0.0</v>
      </c>
      <c r="DR22" s="40">
        <v>0.0</v>
      </c>
      <c r="DS22" s="40">
        <v>0.0</v>
      </c>
      <c r="DT22" s="40">
        <v>0.0</v>
      </c>
      <c r="DU22" s="40">
        <v>0.0</v>
      </c>
      <c r="DV22" s="40">
        <v>0.0</v>
      </c>
      <c r="DW22" s="40">
        <v>0.0</v>
      </c>
      <c r="DX22" s="40">
        <v>0.0</v>
      </c>
      <c r="DY22" s="40">
        <v>0.0</v>
      </c>
      <c r="DZ22" s="40">
        <v>0.0</v>
      </c>
      <c r="EA22" s="40">
        <v>0.0</v>
      </c>
      <c r="EB22" s="40">
        <v>0.0</v>
      </c>
      <c r="EC22" s="40">
        <v>0.0</v>
      </c>
      <c r="ED22" s="40">
        <v>0.0</v>
      </c>
      <c r="EE22" s="40">
        <v>0.0</v>
      </c>
      <c r="EF22" s="40">
        <v>0.0</v>
      </c>
      <c r="EG22" s="40">
        <v>0.0</v>
      </c>
      <c r="EH22" s="40">
        <v>0.0</v>
      </c>
      <c r="EI22" s="40">
        <v>0.0</v>
      </c>
      <c r="EJ22" s="40">
        <v>0.0</v>
      </c>
      <c r="EK22" s="40">
        <v>0.0</v>
      </c>
      <c r="EL22" s="40">
        <v>0.0</v>
      </c>
      <c r="EM22" s="40">
        <v>0.0</v>
      </c>
      <c r="EN22" s="40">
        <v>0.0</v>
      </c>
      <c r="EO22" s="40">
        <v>0.0</v>
      </c>
      <c r="EP22" s="40">
        <v>0.0</v>
      </c>
      <c r="EQ22" s="40">
        <v>0.0</v>
      </c>
      <c r="ER22" s="40">
        <v>0.0</v>
      </c>
      <c r="ES22" s="40">
        <v>0.0</v>
      </c>
      <c r="ET22" s="40">
        <v>0.0</v>
      </c>
      <c r="EU22" s="39">
        <v>24.000000000000004</v>
      </c>
      <c r="EV22" s="39"/>
    </row>
    <row r="23" hidden="1">
      <c r="A23" s="41"/>
      <c r="B23" s="42"/>
      <c r="C23" s="41"/>
      <c r="D23" s="43"/>
      <c r="E23" s="43"/>
      <c r="F23" s="41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5">
        <v>24.0</v>
      </c>
      <c r="AM23" s="45">
        <v>0.0</v>
      </c>
      <c r="AN23" s="45">
        <v>0.0</v>
      </c>
      <c r="AO23" s="45">
        <v>0.0</v>
      </c>
      <c r="AP23" s="45">
        <v>0.0</v>
      </c>
      <c r="AQ23" s="45">
        <v>0.0</v>
      </c>
      <c r="AR23" s="45"/>
      <c r="AS23" s="45">
        <v>2.0</v>
      </c>
      <c r="AT23" s="45">
        <v>0.0</v>
      </c>
      <c r="AU23" s="45">
        <v>0.0</v>
      </c>
      <c r="AV23" s="45">
        <v>0.0</v>
      </c>
      <c r="AW23" s="45">
        <v>0.0</v>
      </c>
      <c r="AX23" s="45">
        <v>0.0</v>
      </c>
      <c r="AY23" s="45">
        <v>0.0</v>
      </c>
      <c r="AZ23" s="45">
        <v>0.0</v>
      </c>
      <c r="BA23" s="45">
        <v>0.0</v>
      </c>
      <c r="BB23" s="45">
        <v>0.0</v>
      </c>
      <c r="BC23" s="45">
        <v>0.0</v>
      </c>
      <c r="BD23" s="45"/>
      <c r="BE23" s="45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>
        <v>0.0</v>
      </c>
      <c r="DQ23" s="46">
        <v>0.0</v>
      </c>
      <c r="DR23" s="46">
        <v>0.0</v>
      </c>
      <c r="DS23" s="46">
        <v>0.0</v>
      </c>
      <c r="DT23" s="46">
        <v>0.0</v>
      </c>
      <c r="DU23" s="46">
        <v>0.0</v>
      </c>
      <c r="DV23" s="46">
        <v>0.0</v>
      </c>
      <c r="DW23" s="46">
        <v>0.0</v>
      </c>
      <c r="DX23" s="46">
        <v>0.0</v>
      </c>
      <c r="DY23" s="46">
        <v>0.0</v>
      </c>
      <c r="DZ23" s="46">
        <v>0.0</v>
      </c>
      <c r="EA23" s="46">
        <v>0.0</v>
      </c>
      <c r="EB23" s="46">
        <v>0.0</v>
      </c>
      <c r="EC23" s="46">
        <v>0.0</v>
      </c>
      <c r="ED23" s="46">
        <v>0.0</v>
      </c>
      <c r="EE23" s="46">
        <v>0.0</v>
      </c>
      <c r="EF23" s="46">
        <v>0.0</v>
      </c>
      <c r="EG23" s="46">
        <v>0.0</v>
      </c>
      <c r="EH23" s="46">
        <v>0.0</v>
      </c>
      <c r="EI23" s="46">
        <v>0.0</v>
      </c>
      <c r="EJ23" s="46">
        <v>0.0</v>
      </c>
      <c r="EK23" s="46">
        <v>0.0</v>
      </c>
      <c r="EL23" s="46">
        <v>0.0</v>
      </c>
      <c r="EM23" s="46">
        <v>0.0</v>
      </c>
      <c r="EN23" s="46">
        <v>0.0</v>
      </c>
      <c r="EO23" s="46">
        <v>0.0</v>
      </c>
      <c r="EP23" s="46">
        <v>0.0</v>
      </c>
      <c r="EQ23" s="46">
        <v>0.0</v>
      </c>
      <c r="ER23" s="46">
        <v>0.0</v>
      </c>
      <c r="ES23" s="46">
        <v>0.0</v>
      </c>
      <c r="ET23" s="46">
        <v>0.0</v>
      </c>
      <c r="EU23" s="45">
        <v>1.0</v>
      </c>
      <c r="EV23" s="45"/>
    </row>
    <row r="24" hidden="1">
      <c r="A24" s="35"/>
      <c r="B24" s="36"/>
      <c r="C24" s="35"/>
      <c r="D24" s="37"/>
      <c r="E24" s="37"/>
      <c r="F24" s="35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9">
        <v>24.0</v>
      </c>
      <c r="AM24" s="39">
        <v>0.0</v>
      </c>
      <c r="AN24" s="39">
        <v>0.0</v>
      </c>
      <c r="AO24" s="39">
        <v>0.0</v>
      </c>
      <c r="AP24" s="39">
        <v>0.0</v>
      </c>
      <c r="AQ24" s="39">
        <v>0.0</v>
      </c>
      <c r="AR24" s="39"/>
      <c r="AS24" s="39">
        <v>2.0</v>
      </c>
      <c r="AT24" s="39">
        <v>0.0</v>
      </c>
      <c r="AU24" s="39">
        <v>0.0</v>
      </c>
      <c r="AV24" s="39">
        <v>0.0</v>
      </c>
      <c r="AW24" s="39">
        <v>0.0</v>
      </c>
      <c r="AX24" s="39">
        <v>0.0</v>
      </c>
      <c r="AY24" s="39">
        <v>0.0</v>
      </c>
      <c r="AZ24" s="39">
        <v>0.0</v>
      </c>
      <c r="BA24" s="39">
        <v>0.0</v>
      </c>
      <c r="BB24" s="39">
        <v>0.0</v>
      </c>
      <c r="BC24" s="39">
        <v>0.0</v>
      </c>
      <c r="BD24" s="39"/>
      <c r="BE24" s="39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>
        <v>0.0</v>
      </c>
      <c r="DQ24" s="40">
        <v>0.0</v>
      </c>
      <c r="DR24" s="40">
        <v>0.0</v>
      </c>
      <c r="DS24" s="40">
        <v>0.0</v>
      </c>
      <c r="DT24" s="40">
        <v>0.0</v>
      </c>
      <c r="DU24" s="40">
        <v>0.0</v>
      </c>
      <c r="DV24" s="40">
        <v>0.0</v>
      </c>
      <c r="DW24" s="40">
        <v>0.0</v>
      </c>
      <c r="DX24" s="40">
        <v>0.0</v>
      </c>
      <c r="DY24" s="40">
        <v>0.0</v>
      </c>
      <c r="DZ24" s="40">
        <v>0.0</v>
      </c>
      <c r="EA24" s="40">
        <v>0.0</v>
      </c>
      <c r="EB24" s="40">
        <v>0.0</v>
      </c>
      <c r="EC24" s="40">
        <v>0.0</v>
      </c>
      <c r="ED24" s="40">
        <v>0.0</v>
      </c>
      <c r="EE24" s="40">
        <v>0.0</v>
      </c>
      <c r="EF24" s="40">
        <v>0.0</v>
      </c>
      <c r="EG24" s="40">
        <v>0.0</v>
      </c>
      <c r="EH24" s="40">
        <v>0.0</v>
      </c>
      <c r="EI24" s="40">
        <v>0.0</v>
      </c>
      <c r="EJ24" s="40">
        <v>0.0</v>
      </c>
      <c r="EK24" s="40">
        <v>0.0</v>
      </c>
      <c r="EL24" s="40">
        <v>0.0</v>
      </c>
      <c r="EM24" s="40">
        <v>0.0</v>
      </c>
      <c r="EN24" s="40">
        <v>0.0</v>
      </c>
      <c r="EO24" s="40">
        <v>0.0</v>
      </c>
      <c r="EP24" s="40">
        <v>0.0</v>
      </c>
      <c r="EQ24" s="40">
        <v>0.0</v>
      </c>
      <c r="ER24" s="40">
        <v>0.0</v>
      </c>
      <c r="ES24" s="40">
        <v>0.0</v>
      </c>
      <c r="ET24" s="40">
        <v>0.0</v>
      </c>
      <c r="EU24" s="39">
        <v>1.0</v>
      </c>
      <c r="EV24" s="39"/>
    </row>
    <row r="25" hidden="1">
      <c r="A25" s="41"/>
      <c r="B25" s="42"/>
      <c r="C25" s="41"/>
      <c r="D25" s="43"/>
      <c r="E25" s="43"/>
      <c r="F25" s="41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5">
        <v>24.0</v>
      </c>
      <c r="AM25" s="45">
        <v>0.0</v>
      </c>
      <c r="AN25" s="45">
        <v>0.0</v>
      </c>
      <c r="AO25" s="45">
        <v>0.0</v>
      </c>
      <c r="AP25" s="45">
        <v>0.0</v>
      </c>
      <c r="AQ25" s="45">
        <v>0.0</v>
      </c>
      <c r="AR25" s="45"/>
      <c r="AS25" s="45">
        <v>2.0</v>
      </c>
      <c r="AT25" s="45">
        <v>0.0</v>
      </c>
      <c r="AU25" s="45">
        <v>0.0</v>
      </c>
      <c r="AV25" s="45">
        <v>0.0</v>
      </c>
      <c r="AW25" s="45">
        <v>0.0</v>
      </c>
      <c r="AX25" s="45">
        <v>0.0</v>
      </c>
      <c r="AY25" s="45">
        <v>0.0</v>
      </c>
      <c r="AZ25" s="45">
        <v>0.0</v>
      </c>
      <c r="BA25" s="45">
        <v>0.0</v>
      </c>
      <c r="BB25" s="45">
        <v>0.0</v>
      </c>
      <c r="BC25" s="45">
        <v>0.0</v>
      </c>
      <c r="BD25" s="45"/>
      <c r="BE25" s="45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>
        <v>0.0</v>
      </c>
      <c r="DQ25" s="46">
        <v>0.0</v>
      </c>
      <c r="DR25" s="46">
        <v>0.0</v>
      </c>
      <c r="DS25" s="46">
        <v>0.0</v>
      </c>
      <c r="DT25" s="46">
        <v>0.0</v>
      </c>
      <c r="DU25" s="46">
        <v>0.0</v>
      </c>
      <c r="DV25" s="46">
        <v>0.0</v>
      </c>
      <c r="DW25" s="46">
        <v>0.0</v>
      </c>
      <c r="DX25" s="46">
        <v>0.0</v>
      </c>
      <c r="DY25" s="46">
        <v>0.0</v>
      </c>
      <c r="DZ25" s="46">
        <v>0.0</v>
      </c>
      <c r="EA25" s="46">
        <v>0.0</v>
      </c>
      <c r="EB25" s="46">
        <v>0.0</v>
      </c>
      <c r="EC25" s="46">
        <v>0.0</v>
      </c>
      <c r="ED25" s="46">
        <v>0.0</v>
      </c>
      <c r="EE25" s="46">
        <v>0.0</v>
      </c>
      <c r="EF25" s="46">
        <v>0.0</v>
      </c>
      <c r="EG25" s="46">
        <v>0.0</v>
      </c>
      <c r="EH25" s="46">
        <v>0.0</v>
      </c>
      <c r="EI25" s="46">
        <v>0.0</v>
      </c>
      <c r="EJ25" s="46">
        <v>0.0</v>
      </c>
      <c r="EK25" s="46">
        <v>0.0</v>
      </c>
      <c r="EL25" s="46">
        <v>0.0</v>
      </c>
      <c r="EM25" s="46">
        <v>0.0</v>
      </c>
      <c r="EN25" s="46">
        <v>0.0</v>
      </c>
      <c r="EO25" s="46">
        <v>0.0</v>
      </c>
      <c r="EP25" s="46">
        <v>0.0</v>
      </c>
      <c r="EQ25" s="46">
        <v>0.0</v>
      </c>
      <c r="ER25" s="46">
        <v>0.0</v>
      </c>
      <c r="ES25" s="46">
        <v>0.0</v>
      </c>
      <c r="ET25" s="46">
        <v>0.0</v>
      </c>
      <c r="EU25" s="45">
        <v>1.0</v>
      </c>
      <c r="EV25" s="45"/>
    </row>
    <row r="26" hidden="1">
      <c r="A26" s="35"/>
      <c r="B26" s="36"/>
      <c r="C26" s="35"/>
      <c r="D26" s="37"/>
      <c r="E26" s="37"/>
      <c r="F26" s="35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9">
        <v>24.0</v>
      </c>
      <c r="AM26" s="39">
        <v>0.0</v>
      </c>
      <c r="AN26" s="39">
        <v>0.0</v>
      </c>
      <c r="AO26" s="39">
        <v>0.0</v>
      </c>
      <c r="AP26" s="39">
        <v>0.0</v>
      </c>
      <c r="AQ26" s="39">
        <v>0.0</v>
      </c>
      <c r="AR26" s="39"/>
      <c r="AS26" s="39">
        <v>2.0</v>
      </c>
      <c r="AT26" s="39">
        <v>0.0</v>
      </c>
      <c r="AU26" s="39">
        <v>0.0</v>
      </c>
      <c r="AV26" s="39">
        <v>0.0</v>
      </c>
      <c r="AW26" s="39">
        <v>0.0</v>
      </c>
      <c r="AX26" s="39">
        <v>0.0</v>
      </c>
      <c r="AY26" s="39">
        <v>0.0</v>
      </c>
      <c r="AZ26" s="39">
        <v>0.0</v>
      </c>
      <c r="BA26" s="39">
        <v>0.0</v>
      </c>
      <c r="BB26" s="39">
        <v>0.0</v>
      </c>
      <c r="BC26" s="39">
        <v>0.0</v>
      </c>
      <c r="BD26" s="39"/>
      <c r="BE26" s="39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>
        <v>0.0</v>
      </c>
      <c r="DQ26" s="40">
        <v>0.0</v>
      </c>
      <c r="DR26" s="40">
        <v>0.0</v>
      </c>
      <c r="DS26" s="40">
        <v>0.0</v>
      </c>
      <c r="DT26" s="40">
        <v>0.0</v>
      </c>
      <c r="DU26" s="40">
        <v>0.0</v>
      </c>
      <c r="DV26" s="40">
        <v>0.0</v>
      </c>
      <c r="DW26" s="40">
        <v>0.0</v>
      </c>
      <c r="DX26" s="40">
        <v>0.0</v>
      </c>
      <c r="DY26" s="40">
        <v>0.0</v>
      </c>
      <c r="DZ26" s="40">
        <v>0.0</v>
      </c>
      <c r="EA26" s="40">
        <v>0.0</v>
      </c>
      <c r="EB26" s="40">
        <v>0.0</v>
      </c>
      <c r="EC26" s="40">
        <v>0.0</v>
      </c>
      <c r="ED26" s="40">
        <v>0.0</v>
      </c>
      <c r="EE26" s="40">
        <v>0.0</v>
      </c>
      <c r="EF26" s="40">
        <v>0.0</v>
      </c>
      <c r="EG26" s="40">
        <v>0.0</v>
      </c>
      <c r="EH26" s="40">
        <v>0.0</v>
      </c>
      <c r="EI26" s="40">
        <v>0.0</v>
      </c>
      <c r="EJ26" s="40">
        <v>0.0</v>
      </c>
      <c r="EK26" s="40">
        <v>0.0</v>
      </c>
      <c r="EL26" s="40">
        <v>0.0</v>
      </c>
      <c r="EM26" s="40">
        <v>0.0</v>
      </c>
      <c r="EN26" s="40">
        <v>0.0</v>
      </c>
      <c r="EO26" s="40">
        <v>0.0</v>
      </c>
      <c r="EP26" s="40">
        <v>0.0</v>
      </c>
      <c r="EQ26" s="40">
        <v>0.0</v>
      </c>
      <c r="ER26" s="40">
        <v>0.0</v>
      </c>
      <c r="ES26" s="40">
        <v>0.0</v>
      </c>
      <c r="ET26" s="40">
        <v>0.0</v>
      </c>
      <c r="EU26" s="39">
        <v>1.0</v>
      </c>
      <c r="EV26" s="39"/>
    </row>
    <row r="27" hidden="1">
      <c r="A27" s="41"/>
      <c r="B27" s="42"/>
      <c r="C27" s="41"/>
      <c r="D27" s="43"/>
      <c r="E27" s="43"/>
      <c r="F27" s="41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5">
        <v>24.0</v>
      </c>
      <c r="AM27" s="45">
        <v>0.0</v>
      </c>
      <c r="AN27" s="45">
        <v>0.0</v>
      </c>
      <c r="AO27" s="45">
        <v>0.0</v>
      </c>
      <c r="AP27" s="45">
        <v>0.0</v>
      </c>
      <c r="AQ27" s="45">
        <v>0.0</v>
      </c>
      <c r="AR27" s="45"/>
      <c r="AS27" s="45">
        <v>2.0</v>
      </c>
      <c r="AT27" s="45">
        <v>0.0</v>
      </c>
      <c r="AU27" s="45">
        <v>0.0</v>
      </c>
      <c r="AV27" s="45">
        <v>0.0</v>
      </c>
      <c r="AW27" s="45">
        <v>0.0</v>
      </c>
      <c r="AX27" s="45">
        <v>0.0</v>
      </c>
      <c r="AY27" s="45">
        <v>0.0</v>
      </c>
      <c r="AZ27" s="45">
        <v>0.0</v>
      </c>
      <c r="BA27" s="45">
        <v>0.0</v>
      </c>
      <c r="BB27" s="45">
        <v>0.0</v>
      </c>
      <c r="BC27" s="45">
        <v>0.0</v>
      </c>
      <c r="BD27" s="45"/>
      <c r="BE27" s="45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>
        <v>0.0</v>
      </c>
      <c r="DQ27" s="46">
        <v>0.0</v>
      </c>
      <c r="DR27" s="46">
        <v>0.0</v>
      </c>
      <c r="DS27" s="46">
        <v>0.0</v>
      </c>
      <c r="DT27" s="46">
        <v>0.0</v>
      </c>
      <c r="DU27" s="46">
        <v>0.0</v>
      </c>
      <c r="DV27" s="46">
        <v>0.0</v>
      </c>
      <c r="DW27" s="46">
        <v>0.0</v>
      </c>
      <c r="DX27" s="46">
        <v>0.0</v>
      </c>
      <c r="DY27" s="46">
        <v>0.0</v>
      </c>
      <c r="DZ27" s="46">
        <v>0.0</v>
      </c>
      <c r="EA27" s="46">
        <v>0.0</v>
      </c>
      <c r="EB27" s="46">
        <v>0.0</v>
      </c>
      <c r="EC27" s="46">
        <v>0.0</v>
      </c>
      <c r="ED27" s="46">
        <v>0.0</v>
      </c>
      <c r="EE27" s="46">
        <v>0.0</v>
      </c>
      <c r="EF27" s="46">
        <v>0.0</v>
      </c>
      <c r="EG27" s="46">
        <v>0.0</v>
      </c>
      <c r="EH27" s="46">
        <v>0.0</v>
      </c>
      <c r="EI27" s="46">
        <v>0.0</v>
      </c>
      <c r="EJ27" s="46">
        <v>0.0</v>
      </c>
      <c r="EK27" s="46">
        <v>0.0</v>
      </c>
      <c r="EL27" s="46">
        <v>0.0</v>
      </c>
      <c r="EM27" s="46">
        <v>0.0</v>
      </c>
      <c r="EN27" s="46">
        <v>0.0</v>
      </c>
      <c r="EO27" s="46">
        <v>0.0</v>
      </c>
      <c r="EP27" s="46">
        <v>0.0</v>
      </c>
      <c r="EQ27" s="46">
        <v>0.0</v>
      </c>
      <c r="ER27" s="46">
        <v>0.0</v>
      </c>
      <c r="ES27" s="46">
        <v>0.0</v>
      </c>
      <c r="ET27" s="46">
        <v>0.0</v>
      </c>
      <c r="EU27" s="45">
        <v>1.0</v>
      </c>
      <c r="EV27" s="45"/>
    </row>
    <row r="28">
      <c r="A28" s="35">
        <v>14.0</v>
      </c>
      <c r="B28" s="36">
        <v>10103.0</v>
      </c>
      <c r="C28" s="35" t="s">
        <v>63</v>
      </c>
      <c r="D28" s="37"/>
      <c r="E28" s="37"/>
      <c r="F28" s="35" t="s">
        <v>64</v>
      </c>
      <c r="G28" s="38">
        <v>1.0000000000000002</v>
      </c>
      <c r="H28" s="38">
        <v>1.0000000000000002</v>
      </c>
      <c r="I28" s="38">
        <v>1.0000000000000002</v>
      </c>
      <c r="J28" s="38">
        <v>1.0000000000000002</v>
      </c>
      <c r="K28" s="38" t="s">
        <v>43</v>
      </c>
      <c r="L28" s="38"/>
      <c r="M28" s="38" t="s">
        <v>43</v>
      </c>
      <c r="N28" s="38"/>
      <c r="O28" s="38"/>
      <c r="P28" s="38">
        <v>1.0000000000000002</v>
      </c>
      <c r="Q28" s="38">
        <v>1.0000000000000002</v>
      </c>
      <c r="R28" s="38">
        <v>1.0000000000000002</v>
      </c>
      <c r="S28" s="38">
        <v>1.0000000000000002</v>
      </c>
      <c r="T28" s="38"/>
      <c r="U28" s="38">
        <v>1.0000000000000002</v>
      </c>
      <c r="V28" s="38">
        <v>1.0000000000000002</v>
      </c>
      <c r="W28" s="38">
        <v>1.0000000000000002</v>
      </c>
      <c r="X28" s="38">
        <v>1.0000000000000002</v>
      </c>
      <c r="Y28" s="38">
        <v>1.0000000000000002</v>
      </c>
      <c r="Z28" s="38"/>
      <c r="AA28" s="38"/>
      <c r="AB28" s="38">
        <v>1.0000000000000002</v>
      </c>
      <c r="AC28" s="38">
        <v>1.0000000000000002</v>
      </c>
      <c r="AD28" s="38">
        <v>1.0000000000000002</v>
      </c>
      <c r="AE28" s="38">
        <v>1.0000000000000002</v>
      </c>
      <c r="AF28" s="38">
        <v>0.9166666666666669</v>
      </c>
      <c r="AG28" s="38">
        <v>0.6125</v>
      </c>
      <c r="AH28" s="38"/>
      <c r="AI28" s="38">
        <v>1.0000000000000002</v>
      </c>
      <c r="AJ28" s="38">
        <v>1.0000000000000002</v>
      </c>
      <c r="AK28" s="38">
        <v>1.0000000000000002</v>
      </c>
      <c r="AL28" s="39">
        <v>24.0</v>
      </c>
      <c r="AM28" s="39">
        <v>21.529166666666672</v>
      </c>
      <c r="AN28" s="39">
        <v>21.529166666666672</v>
      </c>
      <c r="AO28" s="39">
        <v>0.0</v>
      </c>
      <c r="AP28" s="39">
        <v>0.0</v>
      </c>
      <c r="AQ28" s="39">
        <v>0.0</v>
      </c>
      <c r="AR28" s="39"/>
      <c r="AS28" s="39">
        <v>2.0</v>
      </c>
      <c r="AT28" s="39">
        <v>0.0</v>
      </c>
      <c r="AU28" s="39">
        <v>1.0</v>
      </c>
      <c r="AV28" s="39">
        <v>0.0</v>
      </c>
      <c r="AW28" s="39">
        <v>0.0</v>
      </c>
      <c r="AX28" s="39">
        <v>0.0</v>
      </c>
      <c r="AY28" s="39">
        <v>0.0</v>
      </c>
      <c r="AZ28" s="39">
        <v>0.0</v>
      </c>
      <c r="BA28" s="39">
        <v>0.0</v>
      </c>
      <c r="BB28" s="39">
        <v>0.0</v>
      </c>
      <c r="BC28" s="39">
        <v>0.0</v>
      </c>
      <c r="BD28" s="39"/>
      <c r="BE28" s="39"/>
      <c r="BF28" s="40">
        <v>1.0</v>
      </c>
      <c r="BG28" s="40">
        <v>0.0</v>
      </c>
      <c r="BH28" s="40">
        <v>0.0</v>
      </c>
      <c r="BI28" s="40">
        <v>0.0</v>
      </c>
      <c r="BJ28" s="40"/>
      <c r="BK28" s="40"/>
      <c r="BL28" s="40"/>
      <c r="BM28" s="40"/>
      <c r="BN28" s="40"/>
      <c r="BO28" s="40">
        <v>0.0</v>
      </c>
      <c r="BP28" s="40">
        <v>0.0</v>
      </c>
      <c r="BQ28" s="40">
        <v>0.0</v>
      </c>
      <c r="BR28" s="40">
        <v>0.0</v>
      </c>
      <c r="BS28" s="40"/>
      <c r="BT28" s="40">
        <v>0.0</v>
      </c>
      <c r="BU28" s="40">
        <v>0.0</v>
      </c>
      <c r="BV28" s="40">
        <v>0.0</v>
      </c>
      <c r="BW28" s="40">
        <v>0.0</v>
      </c>
      <c r="BX28" s="40">
        <v>0.0</v>
      </c>
      <c r="BY28" s="40"/>
      <c r="BZ28" s="40"/>
      <c r="CA28" s="40">
        <v>0.0</v>
      </c>
      <c r="CB28" s="40">
        <v>0.0</v>
      </c>
      <c r="CC28" s="40">
        <v>0.0</v>
      </c>
      <c r="CD28" s="40">
        <v>0.0</v>
      </c>
      <c r="CE28" s="40">
        <v>0.0</v>
      </c>
      <c r="CF28" s="40"/>
      <c r="CG28" s="40"/>
      <c r="CH28" s="40">
        <v>0.0</v>
      </c>
      <c r="CI28" s="40">
        <v>0.0</v>
      </c>
      <c r="CJ28" s="40">
        <v>0.0</v>
      </c>
      <c r="CK28" s="40">
        <v>0.0</v>
      </c>
      <c r="CL28" s="40">
        <v>0.0</v>
      </c>
      <c r="CM28" s="40">
        <v>0.0</v>
      </c>
      <c r="CN28" s="40">
        <v>0.0</v>
      </c>
      <c r="CO28" s="40"/>
      <c r="CP28" s="40"/>
      <c r="CQ28" s="40"/>
      <c r="CR28" s="40"/>
      <c r="CS28" s="40"/>
      <c r="CT28" s="40">
        <v>0.0</v>
      </c>
      <c r="CU28" s="40">
        <v>0.0</v>
      </c>
      <c r="CV28" s="40">
        <v>0.0</v>
      </c>
      <c r="CW28" s="40">
        <v>0.0</v>
      </c>
      <c r="CX28" s="40"/>
      <c r="CY28" s="40">
        <v>0.0</v>
      </c>
      <c r="CZ28" s="40">
        <v>0.0</v>
      </c>
      <c r="DA28" s="40">
        <v>0.0</v>
      </c>
      <c r="DB28" s="40">
        <v>0.0</v>
      </c>
      <c r="DC28" s="40">
        <v>0.0</v>
      </c>
      <c r="DD28" s="40"/>
      <c r="DE28" s="40"/>
      <c r="DF28" s="40">
        <v>0.0</v>
      </c>
      <c r="DG28" s="40">
        <v>0.0</v>
      </c>
      <c r="DH28" s="40">
        <v>0.0</v>
      </c>
      <c r="DI28" s="40">
        <v>0.0</v>
      </c>
      <c r="DJ28" s="40">
        <v>0.0</v>
      </c>
      <c r="DK28" s="40">
        <v>0.0</v>
      </c>
      <c r="DL28" s="40"/>
      <c r="DM28" s="40">
        <v>0.0</v>
      </c>
      <c r="DN28" s="40">
        <v>0.0</v>
      </c>
      <c r="DO28" s="40">
        <v>0.0</v>
      </c>
      <c r="DP28" s="40">
        <v>0.0</v>
      </c>
      <c r="DQ28" s="40">
        <v>0.0</v>
      </c>
      <c r="DR28" s="40">
        <v>0.0</v>
      </c>
      <c r="DS28" s="40">
        <v>0.0</v>
      </c>
      <c r="DT28" s="40">
        <v>0.0</v>
      </c>
      <c r="DU28" s="40">
        <v>0.0</v>
      </c>
      <c r="DV28" s="40">
        <v>0.0</v>
      </c>
      <c r="DW28" s="40">
        <v>0.0</v>
      </c>
      <c r="DX28" s="40">
        <v>0.0</v>
      </c>
      <c r="DY28" s="40">
        <v>0.0</v>
      </c>
      <c r="DZ28" s="40">
        <v>0.0</v>
      </c>
      <c r="EA28" s="40">
        <v>0.0</v>
      </c>
      <c r="EB28" s="40">
        <v>0.0</v>
      </c>
      <c r="EC28" s="40">
        <v>0.0</v>
      </c>
      <c r="ED28" s="40">
        <v>0.0</v>
      </c>
      <c r="EE28" s="40">
        <v>0.0</v>
      </c>
      <c r="EF28" s="40">
        <v>0.0</v>
      </c>
      <c r="EG28" s="40">
        <v>0.0</v>
      </c>
      <c r="EH28" s="40">
        <v>0.0</v>
      </c>
      <c r="EI28" s="40">
        <v>0.0</v>
      </c>
      <c r="EJ28" s="40">
        <v>0.0</v>
      </c>
      <c r="EK28" s="40">
        <v>0.0</v>
      </c>
      <c r="EL28" s="40">
        <v>0.0</v>
      </c>
      <c r="EM28" s="40">
        <v>0.0</v>
      </c>
      <c r="EN28" s="40">
        <v>0.0</v>
      </c>
      <c r="EO28" s="40">
        <v>0.0</v>
      </c>
      <c r="EP28" s="40">
        <v>0.0</v>
      </c>
      <c r="EQ28" s="40">
        <v>0.0</v>
      </c>
      <c r="ER28" s="40">
        <v>0.0</v>
      </c>
      <c r="ES28" s="40">
        <v>0.0</v>
      </c>
      <c r="ET28" s="40">
        <v>0.0</v>
      </c>
      <c r="EU28" s="39">
        <v>21.000000000000004</v>
      </c>
      <c r="EV28" s="39"/>
    </row>
    <row r="29">
      <c r="A29" s="41">
        <v>15.0</v>
      </c>
      <c r="B29" s="42">
        <v>10398.0</v>
      </c>
      <c r="C29" s="41" t="s">
        <v>65</v>
      </c>
      <c r="D29" s="43"/>
      <c r="E29" s="43"/>
      <c r="F29" s="41" t="s">
        <v>64</v>
      </c>
      <c r="G29" s="44"/>
      <c r="H29" s="44">
        <v>1.0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>
        <v>1.0</v>
      </c>
      <c r="Z29" s="44"/>
      <c r="AA29" s="44"/>
      <c r="AB29" s="44">
        <v>1.0</v>
      </c>
      <c r="AC29" s="44"/>
      <c r="AD29" s="44"/>
      <c r="AE29" s="44"/>
      <c r="AF29" s="44"/>
      <c r="AG29" s="44"/>
      <c r="AH29" s="44"/>
      <c r="AI29" s="44"/>
      <c r="AJ29" s="44"/>
      <c r="AK29" s="44">
        <v>1.0</v>
      </c>
      <c r="AL29" s="50">
        <v>4.0</v>
      </c>
      <c r="AM29" s="45">
        <v>4.0</v>
      </c>
      <c r="AN29" s="45">
        <v>4.0</v>
      </c>
      <c r="AO29" s="45">
        <v>0.0</v>
      </c>
      <c r="AP29" s="45">
        <v>0.0</v>
      </c>
      <c r="AQ29" s="45">
        <v>0.0</v>
      </c>
      <c r="AR29" s="45"/>
      <c r="AS29" s="45">
        <v>2.0</v>
      </c>
      <c r="AT29" s="45">
        <v>0.0</v>
      </c>
      <c r="AU29" s="45">
        <v>0.0</v>
      </c>
      <c r="AV29" s="45">
        <v>0.0</v>
      </c>
      <c r="AW29" s="45">
        <v>0.0</v>
      </c>
      <c r="AX29" s="45">
        <v>0.0</v>
      </c>
      <c r="AY29" s="45">
        <v>0.0</v>
      </c>
      <c r="AZ29" s="45">
        <v>0.0</v>
      </c>
      <c r="BA29" s="45">
        <v>0.0</v>
      </c>
      <c r="BB29" s="45">
        <v>0.0</v>
      </c>
      <c r="BC29" s="45">
        <v>0.0</v>
      </c>
      <c r="BD29" s="45"/>
      <c r="BE29" s="45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>
        <v>0.0</v>
      </c>
      <c r="DQ29" s="46">
        <v>0.0</v>
      </c>
      <c r="DR29" s="46">
        <v>0.0</v>
      </c>
      <c r="DS29" s="46">
        <v>0.0</v>
      </c>
      <c r="DT29" s="46">
        <v>0.0</v>
      </c>
      <c r="DU29" s="46">
        <v>0.0</v>
      </c>
      <c r="DV29" s="46">
        <v>0.0</v>
      </c>
      <c r="DW29" s="46">
        <v>0.0</v>
      </c>
      <c r="DX29" s="46">
        <v>0.0</v>
      </c>
      <c r="DY29" s="46">
        <v>0.0</v>
      </c>
      <c r="DZ29" s="46">
        <v>0.0</v>
      </c>
      <c r="EA29" s="46">
        <v>0.0</v>
      </c>
      <c r="EB29" s="46">
        <v>0.0</v>
      </c>
      <c r="EC29" s="46">
        <v>0.0</v>
      </c>
      <c r="ED29" s="46">
        <v>0.0</v>
      </c>
      <c r="EE29" s="46">
        <v>0.0</v>
      </c>
      <c r="EF29" s="46">
        <v>0.0</v>
      </c>
      <c r="EG29" s="46">
        <v>0.0</v>
      </c>
      <c r="EH29" s="46">
        <v>0.0</v>
      </c>
      <c r="EI29" s="46">
        <v>0.0</v>
      </c>
      <c r="EJ29" s="46">
        <v>0.0</v>
      </c>
      <c r="EK29" s="46">
        <v>0.0</v>
      </c>
      <c r="EL29" s="46">
        <v>0.0</v>
      </c>
      <c r="EM29" s="46">
        <v>0.0</v>
      </c>
      <c r="EN29" s="46">
        <v>0.0</v>
      </c>
      <c r="EO29" s="46">
        <v>0.0</v>
      </c>
      <c r="EP29" s="46">
        <v>0.0</v>
      </c>
      <c r="EQ29" s="46">
        <v>0.0</v>
      </c>
      <c r="ER29" s="46">
        <v>0.0</v>
      </c>
      <c r="ES29" s="46">
        <v>0.0</v>
      </c>
      <c r="ET29" s="46">
        <v>0.0</v>
      </c>
      <c r="EU29" s="45">
        <v>5.0</v>
      </c>
      <c r="EV29" s="45"/>
    </row>
    <row r="30">
      <c r="A30" s="35">
        <v>16.0</v>
      </c>
      <c r="B30" s="36">
        <v>10007.0</v>
      </c>
      <c r="C30" s="35" t="s">
        <v>66</v>
      </c>
      <c r="D30" s="37"/>
      <c r="E30" s="37"/>
      <c r="F30" s="35" t="s">
        <v>64</v>
      </c>
      <c r="G30" s="38">
        <v>0.5000000000000002</v>
      </c>
      <c r="H30" s="38"/>
      <c r="I30" s="38"/>
      <c r="J30" s="38"/>
      <c r="K30" s="38" t="s">
        <v>43</v>
      </c>
      <c r="L30" s="38"/>
      <c r="M30" s="38" t="s">
        <v>43</v>
      </c>
      <c r="N30" s="38"/>
      <c r="O30" s="38"/>
      <c r="P30" s="38"/>
      <c r="Q30" s="38"/>
      <c r="R30" s="38"/>
      <c r="S30" s="38"/>
      <c r="T30" s="38"/>
      <c r="U30" s="38"/>
      <c r="V30" s="38">
        <v>0.48750000000000027</v>
      </c>
      <c r="W30" s="38">
        <v>1.0000000000000002</v>
      </c>
      <c r="X30" s="38">
        <v>1.0000000000000002</v>
      </c>
      <c r="Y30" s="38">
        <v>1.0000000000000002</v>
      </c>
      <c r="Z30" s="38"/>
      <c r="AA30" s="38"/>
      <c r="AB30" s="38">
        <v>1.0000000000000002</v>
      </c>
      <c r="AC30" s="38">
        <v>1.0000000000000002</v>
      </c>
      <c r="AD30" s="38">
        <v>1.0000000000000002</v>
      </c>
      <c r="AE30" s="38">
        <v>0.9541666666666667</v>
      </c>
      <c r="AF30" s="38">
        <v>1.0000000000000002</v>
      </c>
      <c r="AG30" s="38">
        <v>1.0000000000000002</v>
      </c>
      <c r="AH30" s="38"/>
      <c r="AI30" s="38">
        <v>1.0000000000000002</v>
      </c>
      <c r="AJ30" s="38">
        <v>1.0000000000000002</v>
      </c>
      <c r="AK30" s="38">
        <v>1.0000000000000002</v>
      </c>
      <c r="AL30" s="39">
        <v>24.0</v>
      </c>
      <c r="AM30" s="39">
        <v>12.941666666666668</v>
      </c>
      <c r="AN30" s="39">
        <v>12.941666666666668</v>
      </c>
      <c r="AO30" s="39">
        <v>0.0</v>
      </c>
      <c r="AP30" s="39">
        <v>0.0</v>
      </c>
      <c r="AQ30" s="39">
        <v>0.0</v>
      </c>
      <c r="AR30" s="39"/>
      <c r="AS30" s="39">
        <v>2.0</v>
      </c>
      <c r="AT30" s="39">
        <v>0.0</v>
      </c>
      <c r="AU30" s="39">
        <v>1.0</v>
      </c>
      <c r="AV30" s="39">
        <v>0.0</v>
      </c>
      <c r="AW30" s="39">
        <v>0.0</v>
      </c>
      <c r="AX30" s="39">
        <v>0.0</v>
      </c>
      <c r="AY30" s="39">
        <v>0.0</v>
      </c>
      <c r="AZ30" s="39">
        <v>0.0</v>
      </c>
      <c r="BA30" s="39">
        <v>0.0</v>
      </c>
      <c r="BB30" s="39">
        <v>0.0</v>
      </c>
      <c r="BC30" s="39">
        <v>0.0</v>
      </c>
      <c r="BD30" s="39"/>
      <c r="BE30" s="39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>
        <v>0.0</v>
      </c>
      <c r="BW30" s="40">
        <v>0.0</v>
      </c>
      <c r="BX30" s="40">
        <v>0.0</v>
      </c>
      <c r="BY30" s="40"/>
      <c r="BZ30" s="40"/>
      <c r="CA30" s="40">
        <v>0.0</v>
      </c>
      <c r="CB30" s="40">
        <v>0.0</v>
      </c>
      <c r="CC30" s="40">
        <v>0.0</v>
      </c>
      <c r="CD30" s="40">
        <v>0.0</v>
      </c>
      <c r="CE30" s="40">
        <v>0.0</v>
      </c>
      <c r="CF30" s="40">
        <v>0.0</v>
      </c>
      <c r="CG30" s="40"/>
      <c r="CH30" s="40">
        <v>0.0</v>
      </c>
      <c r="CI30" s="40">
        <v>1.0</v>
      </c>
      <c r="CJ30" s="40">
        <v>0.0</v>
      </c>
      <c r="CK30" s="40">
        <v>0.0</v>
      </c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>
        <v>0.0</v>
      </c>
      <c r="DA30" s="40">
        <v>0.0</v>
      </c>
      <c r="DB30" s="40">
        <v>0.0</v>
      </c>
      <c r="DC30" s="40">
        <v>0.0</v>
      </c>
      <c r="DD30" s="40"/>
      <c r="DE30" s="40"/>
      <c r="DF30" s="40">
        <v>0.0</v>
      </c>
      <c r="DG30" s="40">
        <v>0.0</v>
      </c>
      <c r="DH30" s="40">
        <v>0.0</v>
      </c>
      <c r="DI30" s="40">
        <v>0.0</v>
      </c>
      <c r="DJ30" s="40">
        <v>0.0</v>
      </c>
      <c r="DK30" s="40">
        <v>0.0</v>
      </c>
      <c r="DL30" s="40"/>
      <c r="DM30" s="40">
        <v>0.0</v>
      </c>
      <c r="DN30" s="40">
        <v>0.0</v>
      </c>
      <c r="DO30" s="40">
        <v>0.0</v>
      </c>
      <c r="DP30" s="40">
        <v>0.0</v>
      </c>
      <c r="DQ30" s="40">
        <v>0.0</v>
      </c>
      <c r="DR30" s="40">
        <v>0.0</v>
      </c>
      <c r="DS30" s="40">
        <v>0.0</v>
      </c>
      <c r="DT30" s="40">
        <v>0.0</v>
      </c>
      <c r="DU30" s="40">
        <v>0.0</v>
      </c>
      <c r="DV30" s="40">
        <v>0.0</v>
      </c>
      <c r="DW30" s="40">
        <v>0.0</v>
      </c>
      <c r="DX30" s="40">
        <v>0.0</v>
      </c>
      <c r="DY30" s="40">
        <v>0.0</v>
      </c>
      <c r="DZ30" s="40">
        <v>0.0</v>
      </c>
      <c r="EA30" s="40">
        <v>0.0</v>
      </c>
      <c r="EB30" s="40">
        <v>0.0</v>
      </c>
      <c r="EC30" s="40">
        <v>0.0</v>
      </c>
      <c r="ED30" s="40">
        <v>0.0</v>
      </c>
      <c r="EE30" s="40">
        <v>0.0</v>
      </c>
      <c r="EF30" s="40">
        <v>0.0</v>
      </c>
      <c r="EG30" s="40">
        <v>0.0</v>
      </c>
      <c r="EH30" s="40">
        <v>0.0</v>
      </c>
      <c r="EI30" s="40">
        <v>0.0</v>
      </c>
      <c r="EJ30" s="40">
        <v>0.0</v>
      </c>
      <c r="EK30" s="40">
        <v>0.0</v>
      </c>
      <c r="EL30" s="40">
        <v>0.0</v>
      </c>
      <c r="EM30" s="40">
        <v>0.0</v>
      </c>
      <c r="EN30" s="40">
        <v>0.0</v>
      </c>
      <c r="EO30" s="40">
        <v>0.0</v>
      </c>
      <c r="EP30" s="40">
        <v>0.0</v>
      </c>
      <c r="EQ30" s="40">
        <v>0.0</v>
      </c>
      <c r="ER30" s="40">
        <v>0.0</v>
      </c>
      <c r="ES30" s="40">
        <v>0.0</v>
      </c>
      <c r="ET30" s="40">
        <v>0.0</v>
      </c>
      <c r="EU30" s="39">
        <v>12.000000000000002</v>
      </c>
      <c r="EV30" s="39"/>
    </row>
    <row r="31">
      <c r="A31" s="41">
        <v>17.0</v>
      </c>
      <c r="B31" s="42">
        <v>10139.0</v>
      </c>
      <c r="C31" s="41" t="s">
        <v>67</v>
      </c>
      <c r="D31" s="43"/>
      <c r="E31" s="43"/>
      <c r="F31" s="41" t="s">
        <v>64</v>
      </c>
      <c r="G31" s="44">
        <v>1.0000000000000002</v>
      </c>
      <c r="H31" s="44">
        <v>1.0000000000000002</v>
      </c>
      <c r="I31" s="44">
        <v>1.0000000000000002</v>
      </c>
      <c r="J31" s="44">
        <v>1.0000000000000002</v>
      </c>
      <c r="K31" s="44" t="s">
        <v>43</v>
      </c>
      <c r="L31" s="44"/>
      <c r="M31" s="44" t="s">
        <v>43</v>
      </c>
      <c r="N31" s="44"/>
      <c r="O31" s="44"/>
      <c r="P31" s="44">
        <v>1.0000000000000002</v>
      </c>
      <c r="Q31" s="44">
        <v>1.0000000000000002</v>
      </c>
      <c r="R31" s="44">
        <v>1.0000000000000002</v>
      </c>
      <c r="S31" s="44">
        <v>1.0000000000000002</v>
      </c>
      <c r="T31" s="44"/>
      <c r="U31" s="44">
        <v>1.0000000000000002</v>
      </c>
      <c r="V31" s="44">
        <v>1.0000000000000002</v>
      </c>
      <c r="W31" s="44">
        <v>1.0000000000000002</v>
      </c>
      <c r="X31" s="44">
        <v>1.0</v>
      </c>
      <c r="Y31" s="44">
        <v>1.0000000000000002</v>
      </c>
      <c r="Z31" s="44"/>
      <c r="AA31" s="44"/>
      <c r="AB31" s="44">
        <v>1.0000000000000002</v>
      </c>
      <c r="AC31" s="44">
        <v>0.5</v>
      </c>
      <c r="AD31" s="44">
        <v>1.0000000000000002</v>
      </c>
      <c r="AE31" s="44">
        <v>1.0000000000000002</v>
      </c>
      <c r="AF31" s="44">
        <v>1.0000000000000002</v>
      </c>
      <c r="AG31" s="44">
        <v>1.0000000000000002</v>
      </c>
      <c r="AH31" s="44"/>
      <c r="AI31" s="44">
        <v>1.0000000000000002</v>
      </c>
      <c r="AJ31" s="44">
        <v>1.0000000000000002</v>
      </c>
      <c r="AK31" s="44">
        <v>1.0000000000000002</v>
      </c>
      <c r="AL31" s="45">
        <v>24.0</v>
      </c>
      <c r="AM31" s="45">
        <v>21.500000000000004</v>
      </c>
      <c r="AN31" s="45">
        <v>21.500000000000004</v>
      </c>
      <c r="AO31" s="45">
        <v>0.0</v>
      </c>
      <c r="AP31" s="45">
        <v>0.0</v>
      </c>
      <c r="AQ31" s="45">
        <v>0.0</v>
      </c>
      <c r="AR31" s="45"/>
      <c r="AS31" s="45">
        <v>2.0</v>
      </c>
      <c r="AT31" s="45">
        <v>0.0</v>
      </c>
      <c r="AU31" s="45">
        <v>0.0</v>
      </c>
      <c r="AV31" s="45">
        <v>0.0</v>
      </c>
      <c r="AW31" s="45">
        <v>0.0</v>
      </c>
      <c r="AX31" s="45">
        <v>0.0</v>
      </c>
      <c r="AY31" s="45">
        <v>0.0</v>
      </c>
      <c r="AZ31" s="45">
        <v>0.0</v>
      </c>
      <c r="BA31" s="45">
        <v>0.0</v>
      </c>
      <c r="BB31" s="45">
        <v>0.0</v>
      </c>
      <c r="BC31" s="45">
        <v>0.0</v>
      </c>
      <c r="BD31" s="45"/>
      <c r="BE31" s="45"/>
      <c r="BF31" s="46">
        <v>0.0</v>
      </c>
      <c r="BG31" s="46">
        <v>0.0</v>
      </c>
      <c r="BH31" s="46">
        <v>0.0</v>
      </c>
      <c r="BI31" s="46">
        <v>0.0</v>
      </c>
      <c r="BJ31" s="46"/>
      <c r="BK31" s="46"/>
      <c r="BL31" s="46"/>
      <c r="BM31" s="46"/>
      <c r="BN31" s="46"/>
      <c r="BO31" s="46">
        <v>0.0</v>
      </c>
      <c r="BP31" s="46">
        <v>0.0</v>
      </c>
      <c r="BQ31" s="46">
        <v>0.0</v>
      </c>
      <c r="BR31" s="46">
        <v>0.0</v>
      </c>
      <c r="BS31" s="46"/>
      <c r="BT31" s="46">
        <v>0.0</v>
      </c>
      <c r="BU31" s="46">
        <v>0.0</v>
      </c>
      <c r="BV31" s="46">
        <v>0.0</v>
      </c>
      <c r="BW31" s="46">
        <v>0.0</v>
      </c>
      <c r="BX31" s="46">
        <v>0.0</v>
      </c>
      <c r="BY31" s="46"/>
      <c r="BZ31" s="46"/>
      <c r="CA31" s="46">
        <v>0.0</v>
      </c>
      <c r="CB31" s="46" t="s">
        <v>28</v>
      </c>
      <c r="CC31" s="46">
        <v>0.0</v>
      </c>
      <c r="CD31" s="46">
        <v>0.0</v>
      </c>
      <c r="CE31" s="46">
        <v>0.0</v>
      </c>
      <c r="CF31" s="46">
        <v>0.0</v>
      </c>
      <c r="CG31" s="46"/>
      <c r="CH31" s="46">
        <v>0.0</v>
      </c>
      <c r="CI31" s="46">
        <v>0.0</v>
      </c>
      <c r="CJ31" s="46"/>
      <c r="CK31" s="46">
        <v>0.0</v>
      </c>
      <c r="CL31" s="46">
        <v>0.0</v>
      </c>
      <c r="CM31" s="46">
        <v>0.0</v>
      </c>
      <c r="CN31" s="46">
        <v>0.0</v>
      </c>
      <c r="CO31" s="46"/>
      <c r="CP31" s="46"/>
      <c r="CQ31" s="46"/>
      <c r="CR31" s="46"/>
      <c r="CS31" s="46"/>
      <c r="CT31" s="46">
        <v>0.0</v>
      </c>
      <c r="CU31" s="46">
        <v>0.0</v>
      </c>
      <c r="CV31" s="46">
        <v>0.0</v>
      </c>
      <c r="CW31" s="46">
        <v>0.0</v>
      </c>
      <c r="CX31" s="46"/>
      <c r="CY31" s="46">
        <v>0.0</v>
      </c>
      <c r="CZ31" s="46">
        <v>0.0</v>
      </c>
      <c r="DA31" s="46">
        <v>0.0</v>
      </c>
      <c r="DB31" s="46">
        <v>0.0</v>
      </c>
      <c r="DC31" s="46">
        <v>0.0</v>
      </c>
      <c r="DD31" s="46"/>
      <c r="DE31" s="46"/>
      <c r="DF31" s="46">
        <v>0.0</v>
      </c>
      <c r="DG31" s="46"/>
      <c r="DH31" s="46">
        <v>0.0</v>
      </c>
      <c r="DI31" s="46">
        <v>0.0</v>
      </c>
      <c r="DJ31" s="46">
        <v>0.0</v>
      </c>
      <c r="DK31" s="46">
        <v>0.0</v>
      </c>
      <c r="DL31" s="46"/>
      <c r="DM31" s="46">
        <v>0.0</v>
      </c>
      <c r="DN31" s="46">
        <v>0.0</v>
      </c>
      <c r="DO31" s="46">
        <v>0.0</v>
      </c>
      <c r="DP31" s="46">
        <v>0.0</v>
      </c>
      <c r="DQ31" s="46">
        <v>0.0</v>
      </c>
      <c r="DR31" s="46">
        <v>0.0</v>
      </c>
      <c r="DS31" s="46">
        <v>0.0</v>
      </c>
      <c r="DT31" s="46">
        <v>0.0</v>
      </c>
      <c r="DU31" s="46">
        <v>0.0</v>
      </c>
      <c r="DV31" s="46">
        <v>0.0</v>
      </c>
      <c r="DW31" s="46">
        <v>0.0</v>
      </c>
      <c r="DX31" s="46">
        <v>0.0</v>
      </c>
      <c r="DY31" s="46">
        <v>0.0</v>
      </c>
      <c r="DZ31" s="46">
        <v>0.0</v>
      </c>
      <c r="EA31" s="46">
        <v>0.0</v>
      </c>
      <c r="EB31" s="46">
        <v>0.0</v>
      </c>
      <c r="EC31" s="46">
        <v>0.0</v>
      </c>
      <c r="ED31" s="46">
        <v>0.0</v>
      </c>
      <c r="EE31" s="46">
        <v>0.0</v>
      </c>
      <c r="EF31" s="46">
        <v>0.0</v>
      </c>
      <c r="EG31" s="46">
        <v>0.0</v>
      </c>
      <c r="EH31" s="46">
        <v>0.0</v>
      </c>
      <c r="EI31" s="46">
        <v>0.0</v>
      </c>
      <c r="EJ31" s="46">
        <v>0.0</v>
      </c>
      <c r="EK31" s="46">
        <v>0.0</v>
      </c>
      <c r="EL31" s="46">
        <v>0.0</v>
      </c>
      <c r="EM31" s="46">
        <v>0.0</v>
      </c>
      <c r="EN31" s="46">
        <v>0.0</v>
      </c>
      <c r="EO31" s="46">
        <v>0.0</v>
      </c>
      <c r="EP31" s="46">
        <v>0.0</v>
      </c>
      <c r="EQ31" s="46">
        <v>0.0</v>
      </c>
      <c r="ER31" s="46">
        <v>0.0</v>
      </c>
      <c r="ES31" s="46">
        <v>0.0</v>
      </c>
      <c r="ET31" s="46">
        <v>0.0</v>
      </c>
      <c r="EU31" s="45">
        <v>22.000000000000004</v>
      </c>
      <c r="EV31" s="45"/>
    </row>
    <row r="32">
      <c r="A32" s="35">
        <v>18.0</v>
      </c>
      <c r="B32" s="36">
        <v>10061.0</v>
      </c>
      <c r="C32" s="35" t="s">
        <v>68</v>
      </c>
      <c r="D32" s="37"/>
      <c r="E32" s="37"/>
      <c r="F32" s="35" t="s">
        <v>64</v>
      </c>
      <c r="G32" s="38">
        <v>1.0000000000000002</v>
      </c>
      <c r="H32" s="38">
        <v>1.0000000000000002</v>
      </c>
      <c r="I32" s="38">
        <v>1.0000000000000002</v>
      </c>
      <c r="J32" s="38">
        <v>1.0000000000000002</v>
      </c>
      <c r="K32" s="38" t="s">
        <v>43</v>
      </c>
      <c r="L32" s="38"/>
      <c r="M32" s="38" t="s">
        <v>43</v>
      </c>
      <c r="N32" s="38"/>
      <c r="O32" s="38"/>
      <c r="P32" s="38">
        <v>1.0000000000000002</v>
      </c>
      <c r="Q32" s="38">
        <v>1.0000000000000002</v>
      </c>
      <c r="R32" s="38">
        <v>1.0000000000000002</v>
      </c>
      <c r="S32" s="38">
        <v>1.0000000000000002</v>
      </c>
      <c r="T32" s="38"/>
      <c r="U32" s="38">
        <v>1.0000000000000002</v>
      </c>
      <c r="V32" s="38">
        <v>1.0000000000000002</v>
      </c>
      <c r="W32" s="38">
        <v>1.0000000000000002</v>
      </c>
      <c r="X32" s="38">
        <v>1.0000000000000002</v>
      </c>
      <c r="Y32" s="38">
        <v>1.0000000000000002</v>
      </c>
      <c r="Z32" s="38"/>
      <c r="AA32" s="38"/>
      <c r="AB32" s="38">
        <v>1.0000000000000002</v>
      </c>
      <c r="AC32" s="38">
        <v>1.0000000000000002</v>
      </c>
      <c r="AD32" s="38">
        <v>0.5</v>
      </c>
      <c r="AE32" s="38">
        <v>1.0000000000000002</v>
      </c>
      <c r="AF32" s="38">
        <v>1.0000000000000002</v>
      </c>
      <c r="AG32" s="38">
        <v>1.0000000000000002</v>
      </c>
      <c r="AH32" s="38"/>
      <c r="AI32" s="38">
        <v>1.0000000000000002</v>
      </c>
      <c r="AJ32" s="38">
        <v>1.0000000000000002</v>
      </c>
      <c r="AK32" s="38">
        <v>1.0000000000000002</v>
      </c>
      <c r="AL32" s="39">
        <v>24.0</v>
      </c>
      <c r="AM32" s="39">
        <v>21.500000000000004</v>
      </c>
      <c r="AN32" s="39">
        <v>21.500000000000004</v>
      </c>
      <c r="AO32" s="39">
        <v>0.0</v>
      </c>
      <c r="AP32" s="39">
        <v>0.0</v>
      </c>
      <c r="AQ32" s="39">
        <v>0.0</v>
      </c>
      <c r="AR32" s="39"/>
      <c r="AS32" s="39">
        <v>2.0</v>
      </c>
      <c r="AT32" s="39">
        <v>0.0</v>
      </c>
      <c r="AU32" s="39">
        <v>0.0</v>
      </c>
      <c r="AV32" s="39">
        <v>0.0</v>
      </c>
      <c r="AW32" s="39">
        <v>0.0</v>
      </c>
      <c r="AX32" s="39">
        <v>0.0</v>
      </c>
      <c r="AY32" s="39">
        <v>0.0</v>
      </c>
      <c r="AZ32" s="39">
        <v>0.0</v>
      </c>
      <c r="BA32" s="39">
        <v>0.0</v>
      </c>
      <c r="BB32" s="39">
        <v>0.0</v>
      </c>
      <c r="BC32" s="39">
        <v>0.0</v>
      </c>
      <c r="BD32" s="39"/>
      <c r="BE32" s="39"/>
      <c r="BF32" s="40">
        <v>0.0</v>
      </c>
      <c r="BG32" s="40">
        <v>0.0</v>
      </c>
      <c r="BH32" s="40">
        <v>0.0</v>
      </c>
      <c r="BI32" s="40">
        <v>0.0</v>
      </c>
      <c r="BJ32" s="40"/>
      <c r="BK32" s="40"/>
      <c r="BL32" s="40"/>
      <c r="BM32" s="40"/>
      <c r="BN32" s="40"/>
      <c r="BO32" s="40">
        <v>0.0</v>
      </c>
      <c r="BP32" s="40">
        <v>0.0</v>
      </c>
      <c r="BQ32" s="40">
        <v>0.0</v>
      </c>
      <c r="BR32" s="40">
        <v>0.0</v>
      </c>
      <c r="BS32" s="40"/>
      <c r="BT32" s="40">
        <v>0.0</v>
      </c>
      <c r="BU32" s="40">
        <v>0.0</v>
      </c>
      <c r="BV32" s="40">
        <v>0.0</v>
      </c>
      <c r="BW32" s="40">
        <v>0.0</v>
      </c>
      <c r="BX32" s="40">
        <v>0.0</v>
      </c>
      <c r="BY32" s="40"/>
      <c r="BZ32" s="40" t="s">
        <v>28</v>
      </c>
      <c r="CA32" s="40">
        <v>0.0</v>
      </c>
      <c r="CB32" s="40">
        <v>0.0</v>
      </c>
      <c r="CC32" s="40" t="s">
        <v>28</v>
      </c>
      <c r="CD32" s="40">
        <v>0.0</v>
      </c>
      <c r="CE32" s="40">
        <v>0.0</v>
      </c>
      <c r="CF32" s="40">
        <v>0.0</v>
      </c>
      <c r="CG32" s="40"/>
      <c r="CH32" s="40">
        <v>0.0</v>
      </c>
      <c r="CI32" s="40">
        <v>0.0</v>
      </c>
      <c r="CJ32" s="40">
        <v>0.0</v>
      </c>
      <c r="CK32" s="40">
        <v>0.0</v>
      </c>
      <c r="CL32" s="40">
        <v>0.0</v>
      </c>
      <c r="CM32" s="40">
        <v>0.0</v>
      </c>
      <c r="CN32" s="40">
        <v>0.0</v>
      </c>
      <c r="CO32" s="40"/>
      <c r="CP32" s="40"/>
      <c r="CQ32" s="40"/>
      <c r="CR32" s="40"/>
      <c r="CS32" s="40"/>
      <c r="CT32" s="40">
        <v>0.0</v>
      </c>
      <c r="CU32" s="40">
        <v>0.0</v>
      </c>
      <c r="CV32" s="40">
        <v>0.0</v>
      </c>
      <c r="CW32" s="40">
        <v>0.0</v>
      </c>
      <c r="CX32" s="40"/>
      <c r="CY32" s="40">
        <v>0.0</v>
      </c>
      <c r="CZ32" s="40">
        <v>0.0</v>
      </c>
      <c r="DA32" s="40">
        <v>0.0</v>
      </c>
      <c r="DB32" s="40">
        <v>0.0</v>
      </c>
      <c r="DC32" s="40">
        <v>0.0</v>
      </c>
      <c r="DD32" s="40"/>
      <c r="DE32" s="40">
        <v>1.0</v>
      </c>
      <c r="DF32" s="40">
        <v>0.0</v>
      </c>
      <c r="DG32" s="40">
        <v>0.0</v>
      </c>
      <c r="DH32" s="40">
        <v>1.0</v>
      </c>
      <c r="DI32" s="40">
        <v>0.0</v>
      </c>
      <c r="DJ32" s="40">
        <v>0.0</v>
      </c>
      <c r="DK32" s="40">
        <v>0.0</v>
      </c>
      <c r="DL32" s="40"/>
      <c r="DM32" s="40">
        <v>0.0</v>
      </c>
      <c r="DN32" s="40">
        <v>0.0</v>
      </c>
      <c r="DO32" s="40">
        <v>0.0</v>
      </c>
      <c r="DP32" s="40">
        <v>0.0</v>
      </c>
      <c r="DQ32" s="40">
        <v>0.0</v>
      </c>
      <c r="DR32" s="40">
        <v>0.0</v>
      </c>
      <c r="DS32" s="40">
        <v>0.0</v>
      </c>
      <c r="DT32" s="40">
        <v>0.0</v>
      </c>
      <c r="DU32" s="40">
        <v>0.0</v>
      </c>
      <c r="DV32" s="40">
        <v>0.0</v>
      </c>
      <c r="DW32" s="40">
        <v>0.0</v>
      </c>
      <c r="DX32" s="40">
        <v>0.0</v>
      </c>
      <c r="DY32" s="40">
        <v>0.0</v>
      </c>
      <c r="DZ32" s="40">
        <v>0.0</v>
      </c>
      <c r="EA32" s="40">
        <v>0.0</v>
      </c>
      <c r="EB32" s="40">
        <v>0.0</v>
      </c>
      <c r="EC32" s="40">
        <v>0.0</v>
      </c>
      <c r="ED32" s="40">
        <v>0.0</v>
      </c>
      <c r="EE32" s="40">
        <v>0.0</v>
      </c>
      <c r="EF32" s="40">
        <v>0.0</v>
      </c>
      <c r="EG32" s="40">
        <v>0.0</v>
      </c>
      <c r="EH32" s="40">
        <v>0.0</v>
      </c>
      <c r="EI32" s="40">
        <v>0.0</v>
      </c>
      <c r="EJ32" s="40">
        <v>0.0</v>
      </c>
      <c r="EK32" s="40">
        <v>0.0</v>
      </c>
      <c r="EL32" s="40">
        <v>0.0</v>
      </c>
      <c r="EM32" s="40">
        <v>0.0</v>
      </c>
      <c r="EN32" s="40">
        <v>0.0</v>
      </c>
      <c r="EO32" s="40">
        <v>0.0</v>
      </c>
      <c r="EP32" s="40">
        <v>0.0</v>
      </c>
      <c r="EQ32" s="40">
        <v>0.0</v>
      </c>
      <c r="ER32" s="40">
        <v>0.0</v>
      </c>
      <c r="ES32" s="40">
        <v>0.0</v>
      </c>
      <c r="ET32" s="40">
        <v>0.0</v>
      </c>
      <c r="EU32" s="39">
        <v>22.000000000000004</v>
      </c>
      <c r="EV32" s="39"/>
    </row>
    <row r="33" hidden="1">
      <c r="A33" s="41">
        <v>21.0</v>
      </c>
      <c r="B33" s="42">
        <v>10405.0</v>
      </c>
      <c r="C33" s="41" t="s">
        <v>69</v>
      </c>
      <c r="D33" s="43"/>
      <c r="E33" s="43"/>
      <c r="F33" s="41" t="s">
        <v>64</v>
      </c>
      <c r="G33" s="44"/>
      <c r="H33" s="44"/>
      <c r="I33" s="44"/>
      <c r="J33" s="44"/>
      <c r="K33" s="44" t="s">
        <v>43</v>
      </c>
      <c r="L33" s="44"/>
      <c r="M33" s="44" t="s">
        <v>43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5">
        <v>24.0</v>
      </c>
      <c r="AM33" s="45">
        <v>0.0</v>
      </c>
      <c r="AN33" s="45">
        <v>0.0</v>
      </c>
      <c r="AO33" s="45">
        <v>0.0</v>
      </c>
      <c r="AP33" s="45">
        <v>0.0</v>
      </c>
      <c r="AQ33" s="45">
        <v>0.0</v>
      </c>
      <c r="AR33" s="45"/>
      <c r="AS33" s="45">
        <v>2.0</v>
      </c>
      <c r="AT33" s="45">
        <v>0.0</v>
      </c>
      <c r="AU33" s="45">
        <v>0.0</v>
      </c>
      <c r="AV33" s="45">
        <v>0.0</v>
      </c>
      <c r="AW33" s="45">
        <v>0.0</v>
      </c>
      <c r="AX33" s="45">
        <v>0.0</v>
      </c>
      <c r="AY33" s="45">
        <v>0.0</v>
      </c>
      <c r="AZ33" s="45">
        <v>0.0</v>
      </c>
      <c r="BA33" s="45">
        <v>0.0</v>
      </c>
      <c r="BB33" s="45">
        <v>0.0</v>
      </c>
      <c r="BC33" s="45">
        <v>0.0</v>
      </c>
      <c r="BD33" s="45"/>
      <c r="BE33" s="45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>
        <v>0.0</v>
      </c>
      <c r="DQ33" s="46">
        <v>0.0</v>
      </c>
      <c r="DR33" s="46">
        <v>0.0</v>
      </c>
      <c r="DS33" s="46">
        <v>0.0</v>
      </c>
      <c r="DT33" s="46">
        <v>0.0</v>
      </c>
      <c r="DU33" s="46">
        <v>0.0</v>
      </c>
      <c r="DV33" s="46">
        <v>0.0</v>
      </c>
      <c r="DW33" s="46">
        <v>0.0</v>
      </c>
      <c r="DX33" s="46">
        <v>0.0</v>
      </c>
      <c r="DY33" s="46">
        <v>0.0</v>
      </c>
      <c r="DZ33" s="46">
        <v>0.0</v>
      </c>
      <c r="EA33" s="46">
        <v>0.0</v>
      </c>
      <c r="EB33" s="46">
        <v>0.0</v>
      </c>
      <c r="EC33" s="46">
        <v>0.0</v>
      </c>
      <c r="ED33" s="46">
        <v>0.0</v>
      </c>
      <c r="EE33" s="46">
        <v>0.0</v>
      </c>
      <c r="EF33" s="46">
        <v>0.0</v>
      </c>
      <c r="EG33" s="46">
        <v>0.0</v>
      </c>
      <c r="EH33" s="46">
        <v>0.0</v>
      </c>
      <c r="EI33" s="46">
        <v>0.0</v>
      </c>
      <c r="EJ33" s="46">
        <v>0.0</v>
      </c>
      <c r="EK33" s="46">
        <v>0.0</v>
      </c>
      <c r="EL33" s="46">
        <v>0.0</v>
      </c>
      <c r="EM33" s="46">
        <v>0.0</v>
      </c>
      <c r="EN33" s="46">
        <v>0.0</v>
      </c>
      <c r="EO33" s="46">
        <v>0.0</v>
      </c>
      <c r="EP33" s="46">
        <v>0.0</v>
      </c>
      <c r="EQ33" s="46">
        <v>0.0</v>
      </c>
      <c r="ER33" s="46">
        <v>0.0</v>
      </c>
      <c r="ES33" s="46">
        <v>0.0</v>
      </c>
      <c r="ET33" s="46">
        <v>0.0</v>
      </c>
      <c r="EU33" s="45">
        <v>1.0</v>
      </c>
      <c r="EV33" s="45"/>
    </row>
    <row r="34" hidden="1">
      <c r="A34" s="35"/>
      <c r="B34" s="36"/>
      <c r="C34" s="35"/>
      <c r="D34" s="37"/>
      <c r="E34" s="37"/>
      <c r="F34" s="35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9">
        <v>24.0</v>
      </c>
      <c r="AM34" s="39">
        <v>0.0</v>
      </c>
      <c r="AN34" s="39">
        <v>0.0</v>
      </c>
      <c r="AO34" s="39">
        <v>0.0</v>
      </c>
      <c r="AP34" s="39">
        <v>0.0</v>
      </c>
      <c r="AQ34" s="39">
        <v>0.0</v>
      </c>
      <c r="AR34" s="39"/>
      <c r="AS34" s="39">
        <v>2.0</v>
      </c>
      <c r="AT34" s="39">
        <v>0.0</v>
      </c>
      <c r="AU34" s="39">
        <v>0.0</v>
      </c>
      <c r="AV34" s="39">
        <v>0.0</v>
      </c>
      <c r="AW34" s="39">
        <v>0.0</v>
      </c>
      <c r="AX34" s="39">
        <v>0.0</v>
      </c>
      <c r="AY34" s="39">
        <v>0.0</v>
      </c>
      <c r="AZ34" s="39">
        <v>0.0</v>
      </c>
      <c r="BA34" s="39">
        <v>0.0</v>
      </c>
      <c r="BB34" s="39">
        <v>0.0</v>
      </c>
      <c r="BC34" s="39">
        <v>0.0</v>
      </c>
      <c r="BD34" s="39"/>
      <c r="BE34" s="39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>
        <v>0.0</v>
      </c>
      <c r="DQ34" s="40">
        <v>0.0</v>
      </c>
      <c r="DR34" s="40">
        <v>0.0</v>
      </c>
      <c r="DS34" s="40">
        <v>0.0</v>
      </c>
      <c r="DT34" s="40">
        <v>0.0</v>
      </c>
      <c r="DU34" s="40">
        <v>0.0</v>
      </c>
      <c r="DV34" s="40">
        <v>0.0</v>
      </c>
      <c r="DW34" s="40">
        <v>0.0</v>
      </c>
      <c r="DX34" s="40">
        <v>0.0</v>
      </c>
      <c r="DY34" s="40">
        <v>0.0</v>
      </c>
      <c r="DZ34" s="40">
        <v>0.0</v>
      </c>
      <c r="EA34" s="40">
        <v>0.0</v>
      </c>
      <c r="EB34" s="40">
        <v>0.0</v>
      </c>
      <c r="EC34" s="40">
        <v>0.0</v>
      </c>
      <c r="ED34" s="40">
        <v>0.0</v>
      </c>
      <c r="EE34" s="40">
        <v>0.0</v>
      </c>
      <c r="EF34" s="40">
        <v>0.0</v>
      </c>
      <c r="EG34" s="40">
        <v>0.0</v>
      </c>
      <c r="EH34" s="40">
        <v>0.0</v>
      </c>
      <c r="EI34" s="40">
        <v>0.0</v>
      </c>
      <c r="EJ34" s="40">
        <v>0.0</v>
      </c>
      <c r="EK34" s="40">
        <v>0.0</v>
      </c>
      <c r="EL34" s="40">
        <v>0.0</v>
      </c>
      <c r="EM34" s="40">
        <v>0.0</v>
      </c>
      <c r="EN34" s="40">
        <v>0.0</v>
      </c>
      <c r="EO34" s="40">
        <v>0.0</v>
      </c>
      <c r="EP34" s="40">
        <v>0.0</v>
      </c>
      <c r="EQ34" s="40">
        <v>0.0</v>
      </c>
      <c r="ER34" s="40">
        <v>0.0</v>
      </c>
      <c r="ES34" s="40">
        <v>0.0</v>
      </c>
      <c r="ET34" s="40">
        <v>0.0</v>
      </c>
      <c r="EU34" s="39">
        <v>1.0</v>
      </c>
      <c r="EV34" s="39"/>
    </row>
    <row r="35" hidden="1">
      <c r="A35" s="41"/>
      <c r="B35" s="42"/>
      <c r="C35" s="41"/>
      <c r="D35" s="43"/>
      <c r="E35" s="43"/>
      <c r="F35" s="41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5">
        <v>24.0</v>
      </c>
      <c r="AM35" s="45">
        <v>0.0</v>
      </c>
      <c r="AN35" s="45">
        <v>0.0</v>
      </c>
      <c r="AO35" s="45">
        <v>0.0</v>
      </c>
      <c r="AP35" s="45">
        <v>0.0</v>
      </c>
      <c r="AQ35" s="45">
        <v>0.0</v>
      </c>
      <c r="AR35" s="45"/>
      <c r="AS35" s="45">
        <v>2.0</v>
      </c>
      <c r="AT35" s="45">
        <v>0.0</v>
      </c>
      <c r="AU35" s="45">
        <v>0.0</v>
      </c>
      <c r="AV35" s="45">
        <v>0.0</v>
      </c>
      <c r="AW35" s="45">
        <v>0.0</v>
      </c>
      <c r="AX35" s="45">
        <v>0.0</v>
      </c>
      <c r="AY35" s="45">
        <v>0.0</v>
      </c>
      <c r="AZ35" s="45">
        <v>0.0</v>
      </c>
      <c r="BA35" s="45">
        <v>0.0</v>
      </c>
      <c r="BB35" s="45">
        <v>0.0</v>
      </c>
      <c r="BC35" s="45">
        <v>0.0</v>
      </c>
      <c r="BD35" s="45"/>
      <c r="BE35" s="45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>
        <v>0.0</v>
      </c>
      <c r="DQ35" s="46">
        <v>0.0</v>
      </c>
      <c r="DR35" s="46">
        <v>0.0</v>
      </c>
      <c r="DS35" s="46">
        <v>0.0</v>
      </c>
      <c r="DT35" s="46">
        <v>0.0</v>
      </c>
      <c r="DU35" s="46">
        <v>0.0</v>
      </c>
      <c r="DV35" s="46">
        <v>0.0</v>
      </c>
      <c r="DW35" s="46">
        <v>0.0</v>
      </c>
      <c r="DX35" s="46">
        <v>0.0</v>
      </c>
      <c r="DY35" s="46">
        <v>0.0</v>
      </c>
      <c r="DZ35" s="46">
        <v>0.0</v>
      </c>
      <c r="EA35" s="46">
        <v>0.0</v>
      </c>
      <c r="EB35" s="46">
        <v>0.0</v>
      </c>
      <c r="EC35" s="46">
        <v>0.0</v>
      </c>
      <c r="ED35" s="46">
        <v>0.0</v>
      </c>
      <c r="EE35" s="46">
        <v>0.0</v>
      </c>
      <c r="EF35" s="46">
        <v>0.0</v>
      </c>
      <c r="EG35" s="46">
        <v>0.0</v>
      </c>
      <c r="EH35" s="46">
        <v>0.0</v>
      </c>
      <c r="EI35" s="46">
        <v>0.0</v>
      </c>
      <c r="EJ35" s="46">
        <v>0.0</v>
      </c>
      <c r="EK35" s="46">
        <v>0.0</v>
      </c>
      <c r="EL35" s="46">
        <v>0.0</v>
      </c>
      <c r="EM35" s="46">
        <v>0.0</v>
      </c>
      <c r="EN35" s="46">
        <v>0.0</v>
      </c>
      <c r="EO35" s="46">
        <v>0.0</v>
      </c>
      <c r="EP35" s="46">
        <v>0.0</v>
      </c>
      <c r="EQ35" s="46">
        <v>0.0</v>
      </c>
      <c r="ER35" s="46">
        <v>0.0</v>
      </c>
      <c r="ES35" s="46">
        <v>0.0</v>
      </c>
      <c r="ET35" s="46">
        <v>0.0</v>
      </c>
      <c r="EU35" s="45">
        <v>1.0</v>
      </c>
      <c r="EV35" s="45"/>
    </row>
    <row r="36" hidden="1">
      <c r="A36" s="35"/>
      <c r="B36" s="36"/>
      <c r="C36" s="35"/>
      <c r="D36" s="37"/>
      <c r="E36" s="37"/>
      <c r="F36" s="35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9">
        <v>24.0</v>
      </c>
      <c r="AM36" s="39">
        <v>0.0</v>
      </c>
      <c r="AN36" s="39">
        <v>0.0</v>
      </c>
      <c r="AO36" s="39">
        <v>0.0</v>
      </c>
      <c r="AP36" s="39">
        <v>0.0</v>
      </c>
      <c r="AQ36" s="39">
        <v>0.0</v>
      </c>
      <c r="AR36" s="39"/>
      <c r="AS36" s="39">
        <v>2.0</v>
      </c>
      <c r="AT36" s="39">
        <v>0.0</v>
      </c>
      <c r="AU36" s="39">
        <v>0.0</v>
      </c>
      <c r="AV36" s="39">
        <v>0.0</v>
      </c>
      <c r="AW36" s="39">
        <v>0.0</v>
      </c>
      <c r="AX36" s="39">
        <v>0.0</v>
      </c>
      <c r="AY36" s="39">
        <v>0.0</v>
      </c>
      <c r="AZ36" s="39">
        <v>0.0</v>
      </c>
      <c r="BA36" s="39">
        <v>0.0</v>
      </c>
      <c r="BB36" s="39">
        <v>0.0</v>
      </c>
      <c r="BC36" s="39">
        <v>0.0</v>
      </c>
      <c r="BD36" s="39"/>
      <c r="BE36" s="39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>
        <v>0.0</v>
      </c>
      <c r="DQ36" s="40">
        <v>0.0</v>
      </c>
      <c r="DR36" s="40">
        <v>0.0</v>
      </c>
      <c r="DS36" s="40">
        <v>0.0</v>
      </c>
      <c r="DT36" s="40">
        <v>0.0</v>
      </c>
      <c r="DU36" s="40">
        <v>0.0</v>
      </c>
      <c r="DV36" s="40">
        <v>0.0</v>
      </c>
      <c r="DW36" s="40">
        <v>0.0</v>
      </c>
      <c r="DX36" s="40">
        <v>0.0</v>
      </c>
      <c r="DY36" s="40">
        <v>0.0</v>
      </c>
      <c r="DZ36" s="40">
        <v>0.0</v>
      </c>
      <c r="EA36" s="40">
        <v>0.0</v>
      </c>
      <c r="EB36" s="40">
        <v>0.0</v>
      </c>
      <c r="EC36" s="40">
        <v>0.0</v>
      </c>
      <c r="ED36" s="40">
        <v>0.0</v>
      </c>
      <c r="EE36" s="40">
        <v>0.0</v>
      </c>
      <c r="EF36" s="40">
        <v>0.0</v>
      </c>
      <c r="EG36" s="40">
        <v>0.0</v>
      </c>
      <c r="EH36" s="40">
        <v>0.0</v>
      </c>
      <c r="EI36" s="40">
        <v>0.0</v>
      </c>
      <c r="EJ36" s="40">
        <v>0.0</v>
      </c>
      <c r="EK36" s="40">
        <v>0.0</v>
      </c>
      <c r="EL36" s="40">
        <v>0.0</v>
      </c>
      <c r="EM36" s="40">
        <v>0.0</v>
      </c>
      <c r="EN36" s="40">
        <v>0.0</v>
      </c>
      <c r="EO36" s="40">
        <v>0.0</v>
      </c>
      <c r="EP36" s="40">
        <v>0.0</v>
      </c>
      <c r="EQ36" s="40">
        <v>0.0</v>
      </c>
      <c r="ER36" s="40">
        <v>0.0</v>
      </c>
      <c r="ES36" s="40">
        <v>0.0</v>
      </c>
      <c r="ET36" s="40">
        <v>0.0</v>
      </c>
      <c r="EU36" s="39">
        <v>1.0</v>
      </c>
      <c r="EV36" s="39"/>
    </row>
    <row r="37" hidden="1">
      <c r="A37" s="41"/>
      <c r="B37" s="42"/>
      <c r="C37" s="41"/>
      <c r="D37" s="43"/>
      <c r="E37" s="43"/>
      <c r="F37" s="4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5">
        <v>24.0</v>
      </c>
      <c r="AM37" s="45">
        <v>0.0</v>
      </c>
      <c r="AN37" s="45">
        <v>0.0</v>
      </c>
      <c r="AO37" s="45">
        <v>0.0</v>
      </c>
      <c r="AP37" s="45">
        <v>0.0</v>
      </c>
      <c r="AQ37" s="45">
        <v>0.0</v>
      </c>
      <c r="AR37" s="45"/>
      <c r="AS37" s="45">
        <v>2.0</v>
      </c>
      <c r="AT37" s="45">
        <v>0.0</v>
      </c>
      <c r="AU37" s="45">
        <v>0.0</v>
      </c>
      <c r="AV37" s="45">
        <v>0.0</v>
      </c>
      <c r="AW37" s="45">
        <v>0.0</v>
      </c>
      <c r="AX37" s="45">
        <v>0.0</v>
      </c>
      <c r="AY37" s="45">
        <v>0.0</v>
      </c>
      <c r="AZ37" s="45">
        <v>0.0</v>
      </c>
      <c r="BA37" s="45">
        <v>0.0</v>
      </c>
      <c r="BB37" s="45">
        <v>0.0</v>
      </c>
      <c r="BC37" s="45">
        <v>0.0</v>
      </c>
      <c r="BD37" s="45"/>
      <c r="BE37" s="45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>
        <v>0.0</v>
      </c>
      <c r="DQ37" s="46">
        <v>0.0</v>
      </c>
      <c r="DR37" s="46">
        <v>0.0</v>
      </c>
      <c r="DS37" s="46">
        <v>0.0</v>
      </c>
      <c r="DT37" s="46">
        <v>0.0</v>
      </c>
      <c r="DU37" s="46">
        <v>0.0</v>
      </c>
      <c r="DV37" s="46">
        <v>0.0</v>
      </c>
      <c r="DW37" s="46">
        <v>0.0</v>
      </c>
      <c r="DX37" s="46">
        <v>0.0</v>
      </c>
      <c r="DY37" s="46">
        <v>0.0</v>
      </c>
      <c r="DZ37" s="46">
        <v>0.0</v>
      </c>
      <c r="EA37" s="46">
        <v>0.0</v>
      </c>
      <c r="EB37" s="46">
        <v>0.0</v>
      </c>
      <c r="EC37" s="46">
        <v>0.0</v>
      </c>
      <c r="ED37" s="46">
        <v>0.0</v>
      </c>
      <c r="EE37" s="46">
        <v>0.0</v>
      </c>
      <c r="EF37" s="46">
        <v>0.0</v>
      </c>
      <c r="EG37" s="46">
        <v>0.0</v>
      </c>
      <c r="EH37" s="46">
        <v>0.0</v>
      </c>
      <c r="EI37" s="46">
        <v>0.0</v>
      </c>
      <c r="EJ37" s="46">
        <v>0.0</v>
      </c>
      <c r="EK37" s="46">
        <v>0.0</v>
      </c>
      <c r="EL37" s="46">
        <v>0.0</v>
      </c>
      <c r="EM37" s="46">
        <v>0.0</v>
      </c>
      <c r="EN37" s="46">
        <v>0.0</v>
      </c>
      <c r="EO37" s="46">
        <v>0.0</v>
      </c>
      <c r="EP37" s="46">
        <v>0.0</v>
      </c>
      <c r="EQ37" s="46">
        <v>0.0</v>
      </c>
      <c r="ER37" s="46">
        <v>0.0</v>
      </c>
      <c r="ES37" s="46">
        <v>0.0</v>
      </c>
      <c r="ET37" s="46">
        <v>0.0</v>
      </c>
      <c r="EU37" s="45">
        <v>1.0</v>
      </c>
      <c r="EV37" s="45"/>
    </row>
    <row r="38">
      <c r="A38" s="35">
        <v>19.0</v>
      </c>
      <c r="B38" s="36">
        <v>10005.0</v>
      </c>
      <c r="C38" s="35" t="s">
        <v>70</v>
      </c>
      <c r="D38" s="37"/>
      <c r="E38" s="37"/>
      <c r="F38" s="35" t="s">
        <v>71</v>
      </c>
      <c r="G38" s="38">
        <v>1.0000000000000002</v>
      </c>
      <c r="H38" s="38">
        <v>1.0000000000000002</v>
      </c>
      <c r="I38" s="38">
        <v>1.0000000000000002</v>
      </c>
      <c r="J38" s="38">
        <v>1.0000000000000002</v>
      </c>
      <c r="K38" s="38" t="s">
        <v>43</v>
      </c>
      <c r="L38" s="38"/>
      <c r="M38" s="38" t="s">
        <v>43</v>
      </c>
      <c r="N38" s="38"/>
      <c r="O38" s="38"/>
      <c r="P38" s="38">
        <v>1.0000000000000002</v>
      </c>
      <c r="Q38" s="38">
        <v>1.0000000000000002</v>
      </c>
      <c r="R38" s="38">
        <v>0.5</v>
      </c>
      <c r="S38" s="38">
        <v>1.0000000000000002</v>
      </c>
      <c r="T38" s="38"/>
      <c r="U38" s="38"/>
      <c r="V38" s="38">
        <v>1.0000000000000002</v>
      </c>
      <c r="W38" s="38">
        <v>1.0000000000000002</v>
      </c>
      <c r="X38" s="38">
        <v>1.0000000000000002</v>
      </c>
      <c r="Y38" s="38">
        <v>1.0000000000000002</v>
      </c>
      <c r="Z38" s="38"/>
      <c r="AA38" s="38"/>
      <c r="AB38" s="38">
        <v>1.0000000000000002</v>
      </c>
      <c r="AC38" s="38">
        <v>1.0000000000000002</v>
      </c>
      <c r="AD38" s="38">
        <v>1.0000000000000002</v>
      </c>
      <c r="AE38" s="38">
        <v>0.5</v>
      </c>
      <c r="AF38" s="38">
        <v>1.0000000000000002</v>
      </c>
      <c r="AG38" s="38">
        <v>1.0000000000000002</v>
      </c>
      <c r="AH38" s="38"/>
      <c r="AI38" s="38">
        <v>1.0000000000000002</v>
      </c>
      <c r="AJ38" s="38">
        <v>1.0000000000000002</v>
      </c>
      <c r="AK38" s="38">
        <v>0.8208333333333335</v>
      </c>
      <c r="AL38" s="39">
        <v>24.0</v>
      </c>
      <c r="AM38" s="39">
        <v>19.820833333333336</v>
      </c>
      <c r="AN38" s="39">
        <v>19.820833333333336</v>
      </c>
      <c r="AO38" s="39">
        <v>0.0</v>
      </c>
      <c r="AP38" s="39">
        <v>0.0</v>
      </c>
      <c r="AQ38" s="39">
        <v>0.0</v>
      </c>
      <c r="AR38" s="39"/>
      <c r="AS38" s="39">
        <v>2.0</v>
      </c>
      <c r="AT38" s="39">
        <v>0.0</v>
      </c>
      <c r="AU38" s="39">
        <v>0.0</v>
      </c>
      <c r="AV38" s="39">
        <v>0.0</v>
      </c>
      <c r="AW38" s="39">
        <v>0.0</v>
      </c>
      <c r="AX38" s="39">
        <v>0.0</v>
      </c>
      <c r="AY38" s="39">
        <v>0.0</v>
      </c>
      <c r="AZ38" s="39">
        <v>0.0</v>
      </c>
      <c r="BA38" s="39">
        <v>0.0</v>
      </c>
      <c r="BB38" s="39">
        <v>0.0</v>
      </c>
      <c r="BC38" s="39">
        <v>0.0</v>
      </c>
      <c r="BD38" s="39"/>
      <c r="BE38" s="39"/>
      <c r="BF38" s="40">
        <v>0.0</v>
      </c>
      <c r="BG38" s="40">
        <v>0.0</v>
      </c>
      <c r="BH38" s="40">
        <v>0.0</v>
      </c>
      <c r="BI38" s="40">
        <v>0.0</v>
      </c>
      <c r="BJ38" s="40"/>
      <c r="BK38" s="40"/>
      <c r="BL38" s="40"/>
      <c r="BM38" s="40"/>
      <c r="BN38" s="40"/>
      <c r="BO38" s="40">
        <v>0.0</v>
      </c>
      <c r="BP38" s="40">
        <v>0.0</v>
      </c>
      <c r="BQ38" s="40" t="s">
        <v>28</v>
      </c>
      <c r="BR38" s="40">
        <v>0.0</v>
      </c>
      <c r="BS38" s="40"/>
      <c r="BT38" s="40"/>
      <c r="BU38" s="40">
        <v>0.0</v>
      </c>
      <c r="BV38" s="40">
        <v>0.0</v>
      </c>
      <c r="BW38" s="40">
        <v>0.0</v>
      </c>
      <c r="BX38" s="40">
        <v>0.0</v>
      </c>
      <c r="BY38" s="40"/>
      <c r="BZ38" s="40"/>
      <c r="CA38" s="40">
        <v>0.0</v>
      </c>
      <c r="CB38" s="40">
        <v>0.0</v>
      </c>
      <c r="CC38" s="40">
        <v>0.0</v>
      </c>
      <c r="CD38" s="40" t="s">
        <v>28</v>
      </c>
      <c r="CE38" s="40">
        <v>0.0</v>
      </c>
      <c r="CF38" s="40">
        <v>0.0</v>
      </c>
      <c r="CG38" s="40"/>
      <c r="CH38" s="40">
        <v>0.0</v>
      </c>
      <c r="CI38" s="40">
        <v>0.0</v>
      </c>
      <c r="CJ38" s="40">
        <v>0.0</v>
      </c>
      <c r="CK38" s="40">
        <v>0.0</v>
      </c>
      <c r="CL38" s="40">
        <v>0.0</v>
      </c>
      <c r="CM38" s="40">
        <v>0.0</v>
      </c>
      <c r="CN38" s="40">
        <v>0.0</v>
      </c>
      <c r="CO38" s="40"/>
      <c r="CP38" s="40"/>
      <c r="CQ38" s="40"/>
      <c r="CR38" s="40"/>
      <c r="CS38" s="40"/>
      <c r="CT38" s="40">
        <v>0.0</v>
      </c>
      <c r="CU38" s="40">
        <v>0.0</v>
      </c>
      <c r="CV38" s="40">
        <v>1.0</v>
      </c>
      <c r="CW38" s="40">
        <v>0.0</v>
      </c>
      <c r="CX38" s="40"/>
      <c r="CY38" s="40"/>
      <c r="CZ38" s="40">
        <v>0.0</v>
      </c>
      <c r="DA38" s="40">
        <v>0.0</v>
      </c>
      <c r="DB38" s="40">
        <v>0.0</v>
      </c>
      <c r="DC38" s="40">
        <v>0.0</v>
      </c>
      <c r="DD38" s="40"/>
      <c r="DE38" s="40"/>
      <c r="DF38" s="40">
        <v>0.0</v>
      </c>
      <c r="DG38" s="40">
        <v>0.0</v>
      </c>
      <c r="DH38" s="40">
        <v>0.0</v>
      </c>
      <c r="DI38" s="40">
        <v>1.0</v>
      </c>
      <c r="DJ38" s="40">
        <v>0.0</v>
      </c>
      <c r="DK38" s="40">
        <v>0.0</v>
      </c>
      <c r="DL38" s="40"/>
      <c r="DM38" s="40">
        <v>0.0</v>
      </c>
      <c r="DN38" s="40">
        <v>0.0</v>
      </c>
      <c r="DO38" s="40">
        <v>0.0</v>
      </c>
      <c r="DP38" s="40">
        <v>0.0</v>
      </c>
      <c r="DQ38" s="40">
        <v>0.0</v>
      </c>
      <c r="DR38" s="40">
        <v>0.0</v>
      </c>
      <c r="DS38" s="40">
        <v>0.0</v>
      </c>
      <c r="DT38" s="40">
        <v>0.0</v>
      </c>
      <c r="DU38" s="40">
        <v>0.0</v>
      </c>
      <c r="DV38" s="40">
        <v>0.0</v>
      </c>
      <c r="DW38" s="40">
        <v>0.0</v>
      </c>
      <c r="DX38" s="40">
        <v>0.0</v>
      </c>
      <c r="DY38" s="40">
        <v>0.0</v>
      </c>
      <c r="DZ38" s="40">
        <v>0.0</v>
      </c>
      <c r="EA38" s="40">
        <v>0.0</v>
      </c>
      <c r="EB38" s="40">
        <v>0.0</v>
      </c>
      <c r="EC38" s="40">
        <v>0.0</v>
      </c>
      <c r="ED38" s="40">
        <v>0.0</v>
      </c>
      <c r="EE38" s="40">
        <v>0.0</v>
      </c>
      <c r="EF38" s="40">
        <v>0.0</v>
      </c>
      <c r="EG38" s="40">
        <v>0.0</v>
      </c>
      <c r="EH38" s="40">
        <v>0.0</v>
      </c>
      <c r="EI38" s="40">
        <v>0.0</v>
      </c>
      <c r="EJ38" s="40">
        <v>0.0</v>
      </c>
      <c r="EK38" s="40">
        <v>0.0</v>
      </c>
      <c r="EL38" s="40">
        <v>0.0</v>
      </c>
      <c r="EM38" s="40">
        <v>0.0</v>
      </c>
      <c r="EN38" s="40">
        <v>0.0</v>
      </c>
      <c r="EO38" s="40">
        <v>0.0</v>
      </c>
      <c r="EP38" s="40">
        <v>0.0</v>
      </c>
      <c r="EQ38" s="40">
        <v>0.0</v>
      </c>
      <c r="ER38" s="40">
        <v>0.0</v>
      </c>
      <c r="ES38" s="40">
        <v>0.0</v>
      </c>
      <c r="ET38" s="40">
        <v>0.0</v>
      </c>
      <c r="EU38" s="39">
        <v>19.000000000000004</v>
      </c>
      <c r="EV38" s="39"/>
    </row>
    <row r="39" hidden="1">
      <c r="A39" s="41">
        <v>23.0</v>
      </c>
      <c r="B39" s="42">
        <v>10041.0</v>
      </c>
      <c r="C39" s="41" t="s">
        <v>72</v>
      </c>
      <c r="D39" s="43"/>
      <c r="E39" s="43"/>
      <c r="F39" s="41" t="s">
        <v>71</v>
      </c>
      <c r="G39" s="44"/>
      <c r="H39" s="44"/>
      <c r="I39" s="44"/>
      <c r="J39" s="44"/>
      <c r="K39" s="44" t="s">
        <v>43</v>
      </c>
      <c r="L39" s="44"/>
      <c r="M39" s="44" t="s">
        <v>43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5">
        <v>24.0</v>
      </c>
      <c r="AM39" s="45">
        <v>0.0</v>
      </c>
      <c r="AN39" s="45">
        <v>0.0</v>
      </c>
      <c r="AO39" s="45">
        <v>0.0</v>
      </c>
      <c r="AP39" s="45">
        <v>0.0</v>
      </c>
      <c r="AQ39" s="45">
        <v>0.0</v>
      </c>
      <c r="AR39" s="45"/>
      <c r="AS39" s="45">
        <v>2.0</v>
      </c>
      <c r="AT39" s="45">
        <v>0.0</v>
      </c>
      <c r="AU39" s="45">
        <v>0.0</v>
      </c>
      <c r="AV39" s="45">
        <v>0.0</v>
      </c>
      <c r="AW39" s="45">
        <v>0.0</v>
      </c>
      <c r="AX39" s="45">
        <v>0.0</v>
      </c>
      <c r="AY39" s="45">
        <v>0.0</v>
      </c>
      <c r="AZ39" s="45">
        <v>0.0</v>
      </c>
      <c r="BA39" s="45">
        <v>0.0</v>
      </c>
      <c r="BB39" s="45">
        <v>0.0</v>
      </c>
      <c r="BC39" s="45">
        <v>0.0</v>
      </c>
      <c r="BD39" s="45"/>
      <c r="BE39" s="45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>
        <v>0.0</v>
      </c>
      <c r="DQ39" s="46">
        <v>0.0</v>
      </c>
      <c r="DR39" s="46">
        <v>0.0</v>
      </c>
      <c r="DS39" s="46">
        <v>0.0</v>
      </c>
      <c r="DT39" s="46">
        <v>0.0</v>
      </c>
      <c r="DU39" s="46">
        <v>0.0</v>
      </c>
      <c r="DV39" s="46">
        <v>0.0</v>
      </c>
      <c r="DW39" s="46">
        <v>0.0</v>
      </c>
      <c r="DX39" s="46">
        <v>0.0</v>
      </c>
      <c r="DY39" s="46">
        <v>0.0</v>
      </c>
      <c r="DZ39" s="46">
        <v>0.0</v>
      </c>
      <c r="EA39" s="46">
        <v>0.0</v>
      </c>
      <c r="EB39" s="46">
        <v>0.0</v>
      </c>
      <c r="EC39" s="46">
        <v>0.0</v>
      </c>
      <c r="ED39" s="46">
        <v>0.0</v>
      </c>
      <c r="EE39" s="46">
        <v>0.0</v>
      </c>
      <c r="EF39" s="46">
        <v>0.0</v>
      </c>
      <c r="EG39" s="46">
        <v>0.0</v>
      </c>
      <c r="EH39" s="46">
        <v>0.0</v>
      </c>
      <c r="EI39" s="46">
        <v>0.0</v>
      </c>
      <c r="EJ39" s="46">
        <v>0.0</v>
      </c>
      <c r="EK39" s="46">
        <v>0.0</v>
      </c>
      <c r="EL39" s="46">
        <v>0.0</v>
      </c>
      <c r="EM39" s="46">
        <v>0.0</v>
      </c>
      <c r="EN39" s="46">
        <v>0.0</v>
      </c>
      <c r="EO39" s="46">
        <v>0.0</v>
      </c>
      <c r="EP39" s="46">
        <v>0.0</v>
      </c>
      <c r="EQ39" s="46">
        <v>0.0</v>
      </c>
      <c r="ER39" s="46">
        <v>0.0</v>
      </c>
      <c r="ES39" s="46">
        <v>0.0</v>
      </c>
      <c r="ET39" s="46">
        <v>0.0</v>
      </c>
      <c r="EU39" s="45">
        <v>1.0</v>
      </c>
      <c r="EV39" s="45"/>
    </row>
    <row r="40">
      <c r="A40" s="35">
        <v>20.0</v>
      </c>
      <c r="B40" s="36">
        <v>10210.0</v>
      </c>
      <c r="C40" s="35" t="s">
        <v>73</v>
      </c>
      <c r="D40" s="37"/>
      <c r="E40" s="37"/>
      <c r="F40" s="35" t="s">
        <v>71</v>
      </c>
      <c r="G40" s="38">
        <v>1.0000000000000002</v>
      </c>
      <c r="H40" s="38">
        <v>1.0000000000000002</v>
      </c>
      <c r="I40" s="38">
        <v>1.0000000000000002</v>
      </c>
      <c r="J40" s="38">
        <v>1.0000000000000002</v>
      </c>
      <c r="K40" s="38" t="s">
        <v>43</v>
      </c>
      <c r="L40" s="38"/>
      <c r="M40" s="38" t="s">
        <v>43</v>
      </c>
      <c r="N40" s="38"/>
      <c r="O40" s="38"/>
      <c r="P40" s="38">
        <v>1.0000000000000002</v>
      </c>
      <c r="Q40" s="38">
        <v>1.0000000000000002</v>
      </c>
      <c r="R40" s="38">
        <v>1.0000000000000002</v>
      </c>
      <c r="S40" s="38">
        <v>1.0000000000000002</v>
      </c>
      <c r="T40" s="38"/>
      <c r="U40" s="38">
        <v>1.0000000000000002</v>
      </c>
      <c r="V40" s="38">
        <v>1.0000000000000002</v>
      </c>
      <c r="W40" s="38">
        <v>1.0000000000000002</v>
      </c>
      <c r="X40" s="38">
        <v>1.0000000000000002</v>
      </c>
      <c r="Y40" s="38">
        <v>1.0000000000000002</v>
      </c>
      <c r="Z40" s="38"/>
      <c r="AA40" s="38"/>
      <c r="AB40" s="38">
        <v>1.0000000000000002</v>
      </c>
      <c r="AC40" s="38">
        <v>1.0000000000000002</v>
      </c>
      <c r="AD40" s="38">
        <v>1.0000000000000002</v>
      </c>
      <c r="AE40" s="38">
        <v>1.0000000000000002</v>
      </c>
      <c r="AF40" s="38">
        <v>1.0000000000000002</v>
      </c>
      <c r="AG40" s="38">
        <v>1.0000000000000002</v>
      </c>
      <c r="AH40" s="38"/>
      <c r="AI40" s="38">
        <v>1.0000000000000002</v>
      </c>
      <c r="AJ40" s="38">
        <v>1.0000000000000002</v>
      </c>
      <c r="AK40" s="38">
        <v>1.0000000000000002</v>
      </c>
      <c r="AL40" s="39">
        <v>24.0</v>
      </c>
      <c r="AM40" s="39">
        <v>22.000000000000004</v>
      </c>
      <c r="AN40" s="39">
        <v>22.000000000000004</v>
      </c>
      <c r="AO40" s="39">
        <v>0.0</v>
      </c>
      <c r="AP40" s="39">
        <v>0.0</v>
      </c>
      <c r="AQ40" s="39">
        <v>0.0</v>
      </c>
      <c r="AR40" s="39"/>
      <c r="AS40" s="39">
        <v>2.0</v>
      </c>
      <c r="AT40" s="39">
        <v>0.0</v>
      </c>
      <c r="AU40" s="39">
        <v>0.0</v>
      </c>
      <c r="AV40" s="39">
        <v>0.0</v>
      </c>
      <c r="AW40" s="39">
        <v>0.0</v>
      </c>
      <c r="AX40" s="39">
        <v>0.0</v>
      </c>
      <c r="AY40" s="39">
        <v>0.0</v>
      </c>
      <c r="AZ40" s="39">
        <v>0.0</v>
      </c>
      <c r="BA40" s="39">
        <v>0.0</v>
      </c>
      <c r="BB40" s="39">
        <v>0.0</v>
      </c>
      <c r="BC40" s="39">
        <v>0.0</v>
      </c>
      <c r="BD40" s="39"/>
      <c r="BE40" s="39"/>
      <c r="BF40" s="40">
        <v>0.0</v>
      </c>
      <c r="BG40" s="40">
        <v>0.0</v>
      </c>
      <c r="BH40" s="40">
        <v>0.0</v>
      </c>
      <c r="BI40" s="40">
        <v>0.0</v>
      </c>
      <c r="BJ40" s="40"/>
      <c r="BK40" s="40"/>
      <c r="BL40" s="40"/>
      <c r="BM40" s="40"/>
      <c r="BN40" s="40"/>
      <c r="BO40" s="40">
        <v>0.0</v>
      </c>
      <c r="BP40" s="40">
        <v>0.0</v>
      </c>
      <c r="BQ40" s="40">
        <v>0.0</v>
      </c>
      <c r="BR40" s="40">
        <v>0.0</v>
      </c>
      <c r="BS40" s="40"/>
      <c r="BT40" s="40">
        <v>0.0</v>
      </c>
      <c r="BU40" s="40">
        <v>0.0</v>
      </c>
      <c r="BV40" s="40">
        <v>0.0</v>
      </c>
      <c r="BW40" s="40">
        <v>0.0</v>
      </c>
      <c r="BX40" s="40">
        <v>0.0</v>
      </c>
      <c r="BY40" s="40"/>
      <c r="BZ40" s="40"/>
      <c r="CA40" s="40">
        <v>0.0</v>
      </c>
      <c r="CB40" s="40">
        <v>0.0</v>
      </c>
      <c r="CC40" s="40">
        <v>0.0</v>
      </c>
      <c r="CD40" s="40">
        <v>0.0</v>
      </c>
      <c r="CE40" s="40">
        <v>0.0</v>
      </c>
      <c r="CF40" s="40">
        <v>0.0</v>
      </c>
      <c r="CG40" s="40"/>
      <c r="CH40" s="40">
        <v>0.0</v>
      </c>
      <c r="CI40" s="40">
        <v>0.0</v>
      </c>
      <c r="CJ40" s="40">
        <v>0.0</v>
      </c>
      <c r="CK40" s="40">
        <v>0.0</v>
      </c>
      <c r="CL40" s="40">
        <v>0.0</v>
      </c>
      <c r="CM40" s="40">
        <v>0.0</v>
      </c>
      <c r="CN40" s="40">
        <v>0.0</v>
      </c>
      <c r="CO40" s="40"/>
      <c r="CP40" s="40"/>
      <c r="CQ40" s="40"/>
      <c r="CR40" s="40"/>
      <c r="CS40" s="40"/>
      <c r="CT40" s="40">
        <v>0.0</v>
      </c>
      <c r="CU40" s="40">
        <v>0.0</v>
      </c>
      <c r="CV40" s="40">
        <v>0.0</v>
      </c>
      <c r="CW40" s="40">
        <v>0.0</v>
      </c>
      <c r="CX40" s="40"/>
      <c r="CY40" s="40">
        <v>0.0</v>
      </c>
      <c r="CZ40" s="40">
        <v>0.0</v>
      </c>
      <c r="DA40" s="40">
        <v>0.0</v>
      </c>
      <c r="DB40" s="40">
        <v>0.0</v>
      </c>
      <c r="DC40" s="40">
        <v>0.0</v>
      </c>
      <c r="DD40" s="40"/>
      <c r="DE40" s="40"/>
      <c r="DF40" s="40">
        <v>0.0</v>
      </c>
      <c r="DG40" s="40">
        <v>0.0</v>
      </c>
      <c r="DH40" s="40">
        <v>0.0</v>
      </c>
      <c r="DI40" s="40">
        <v>0.0</v>
      </c>
      <c r="DJ40" s="40">
        <v>0.0</v>
      </c>
      <c r="DK40" s="40">
        <v>0.0</v>
      </c>
      <c r="DL40" s="40"/>
      <c r="DM40" s="40">
        <v>0.0</v>
      </c>
      <c r="DN40" s="40">
        <v>0.0</v>
      </c>
      <c r="DO40" s="40">
        <v>0.0</v>
      </c>
      <c r="DP40" s="40">
        <v>0.0</v>
      </c>
      <c r="DQ40" s="40">
        <v>0.0</v>
      </c>
      <c r="DR40" s="40">
        <v>0.0</v>
      </c>
      <c r="DS40" s="40">
        <v>0.0</v>
      </c>
      <c r="DT40" s="40">
        <v>0.0</v>
      </c>
      <c r="DU40" s="40">
        <v>0.0</v>
      </c>
      <c r="DV40" s="40">
        <v>0.0</v>
      </c>
      <c r="DW40" s="40">
        <v>0.0</v>
      </c>
      <c r="DX40" s="40">
        <v>0.0</v>
      </c>
      <c r="DY40" s="40">
        <v>0.0</v>
      </c>
      <c r="DZ40" s="40">
        <v>0.0</v>
      </c>
      <c r="EA40" s="40">
        <v>0.0</v>
      </c>
      <c r="EB40" s="40">
        <v>0.0</v>
      </c>
      <c r="EC40" s="40">
        <v>0.0</v>
      </c>
      <c r="ED40" s="40">
        <v>0.0</v>
      </c>
      <c r="EE40" s="40">
        <v>0.0</v>
      </c>
      <c r="EF40" s="40">
        <v>0.0</v>
      </c>
      <c r="EG40" s="40">
        <v>0.0</v>
      </c>
      <c r="EH40" s="40">
        <v>0.0</v>
      </c>
      <c r="EI40" s="40">
        <v>0.0</v>
      </c>
      <c r="EJ40" s="40">
        <v>0.0</v>
      </c>
      <c r="EK40" s="40">
        <v>0.0</v>
      </c>
      <c r="EL40" s="40">
        <v>0.0</v>
      </c>
      <c r="EM40" s="40">
        <v>0.0</v>
      </c>
      <c r="EN40" s="40">
        <v>0.0</v>
      </c>
      <c r="EO40" s="40">
        <v>0.0</v>
      </c>
      <c r="EP40" s="40">
        <v>0.0</v>
      </c>
      <c r="EQ40" s="40">
        <v>0.0</v>
      </c>
      <c r="ER40" s="40">
        <v>0.0</v>
      </c>
      <c r="ES40" s="40">
        <v>0.0</v>
      </c>
      <c r="ET40" s="40">
        <v>0.0</v>
      </c>
      <c r="EU40" s="39">
        <v>23.000000000000004</v>
      </c>
      <c r="EV40" s="39"/>
    </row>
    <row r="41" hidden="1">
      <c r="A41" s="41"/>
      <c r="B41" s="42"/>
      <c r="C41" s="41"/>
      <c r="D41" s="43"/>
      <c r="E41" s="43"/>
      <c r="F41" s="4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5">
        <v>24.0</v>
      </c>
      <c r="AM41" s="45">
        <v>0.0</v>
      </c>
      <c r="AN41" s="45">
        <v>0.0</v>
      </c>
      <c r="AO41" s="45">
        <v>0.0</v>
      </c>
      <c r="AP41" s="45">
        <v>0.0</v>
      </c>
      <c r="AQ41" s="45">
        <v>0.0</v>
      </c>
      <c r="AR41" s="45"/>
      <c r="AS41" s="45">
        <v>2.0</v>
      </c>
      <c r="AT41" s="45">
        <v>0.0</v>
      </c>
      <c r="AU41" s="45">
        <v>0.0</v>
      </c>
      <c r="AV41" s="45">
        <v>0.0</v>
      </c>
      <c r="AW41" s="45">
        <v>0.0</v>
      </c>
      <c r="AX41" s="45">
        <v>0.0</v>
      </c>
      <c r="AY41" s="45">
        <v>0.0</v>
      </c>
      <c r="AZ41" s="45">
        <v>0.0</v>
      </c>
      <c r="BA41" s="45">
        <v>0.0</v>
      </c>
      <c r="BB41" s="45">
        <v>0.0</v>
      </c>
      <c r="BC41" s="45">
        <v>0.0</v>
      </c>
      <c r="BD41" s="45"/>
      <c r="BE41" s="45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>
        <v>0.0</v>
      </c>
      <c r="DQ41" s="46">
        <v>0.0</v>
      </c>
      <c r="DR41" s="46">
        <v>0.0</v>
      </c>
      <c r="DS41" s="46">
        <v>0.0</v>
      </c>
      <c r="DT41" s="46">
        <v>0.0</v>
      </c>
      <c r="DU41" s="46">
        <v>0.0</v>
      </c>
      <c r="DV41" s="46">
        <v>0.0</v>
      </c>
      <c r="DW41" s="46">
        <v>0.0</v>
      </c>
      <c r="DX41" s="46">
        <v>0.0</v>
      </c>
      <c r="DY41" s="46">
        <v>0.0</v>
      </c>
      <c r="DZ41" s="46">
        <v>0.0</v>
      </c>
      <c r="EA41" s="46">
        <v>0.0</v>
      </c>
      <c r="EB41" s="46">
        <v>0.0</v>
      </c>
      <c r="EC41" s="46">
        <v>0.0</v>
      </c>
      <c r="ED41" s="46">
        <v>0.0</v>
      </c>
      <c r="EE41" s="46">
        <v>0.0</v>
      </c>
      <c r="EF41" s="46">
        <v>0.0</v>
      </c>
      <c r="EG41" s="46">
        <v>0.0</v>
      </c>
      <c r="EH41" s="46">
        <v>0.0</v>
      </c>
      <c r="EI41" s="46">
        <v>0.0</v>
      </c>
      <c r="EJ41" s="46">
        <v>0.0</v>
      </c>
      <c r="EK41" s="46">
        <v>0.0</v>
      </c>
      <c r="EL41" s="46">
        <v>0.0</v>
      </c>
      <c r="EM41" s="46">
        <v>0.0</v>
      </c>
      <c r="EN41" s="46">
        <v>0.0</v>
      </c>
      <c r="EO41" s="46">
        <v>0.0</v>
      </c>
      <c r="EP41" s="46">
        <v>0.0</v>
      </c>
      <c r="EQ41" s="46">
        <v>0.0</v>
      </c>
      <c r="ER41" s="46">
        <v>0.0</v>
      </c>
      <c r="ES41" s="46">
        <v>0.0</v>
      </c>
      <c r="ET41" s="46">
        <v>0.0</v>
      </c>
      <c r="EU41" s="45">
        <v>1.0</v>
      </c>
      <c r="EV41" s="45"/>
    </row>
    <row r="42">
      <c r="A42" s="35">
        <v>21.0</v>
      </c>
      <c r="B42" s="36">
        <v>10085.0</v>
      </c>
      <c r="C42" s="35" t="s">
        <v>74</v>
      </c>
      <c r="D42" s="37"/>
      <c r="E42" s="37"/>
      <c r="F42" s="35" t="s">
        <v>75</v>
      </c>
      <c r="G42" s="38">
        <v>1.0000000000000002</v>
      </c>
      <c r="H42" s="38">
        <v>1.0000000000000002</v>
      </c>
      <c r="I42" s="38">
        <v>1.0000000000000002</v>
      </c>
      <c r="J42" s="38">
        <v>1.0000000000000002</v>
      </c>
      <c r="K42" s="38" t="s">
        <v>43</v>
      </c>
      <c r="L42" s="38"/>
      <c r="M42" s="38" t="s">
        <v>43</v>
      </c>
      <c r="N42" s="38"/>
      <c r="O42" s="38"/>
      <c r="P42" s="38">
        <v>1.0000000000000002</v>
      </c>
      <c r="Q42" s="38">
        <v>1.0000000000000002</v>
      </c>
      <c r="R42" s="38">
        <v>1.0000000000000002</v>
      </c>
      <c r="S42" s="38">
        <v>1.0000000000000002</v>
      </c>
      <c r="T42" s="38"/>
      <c r="U42" s="38">
        <v>1.0000000000000002</v>
      </c>
      <c r="V42" s="38">
        <v>1.0000000000000002</v>
      </c>
      <c r="W42" s="38">
        <v>1.0000000000000002</v>
      </c>
      <c r="X42" s="38">
        <v>1.0000000000000002</v>
      </c>
      <c r="Y42" s="38">
        <v>1.0000000000000002</v>
      </c>
      <c r="Z42" s="38"/>
      <c r="AA42" s="38"/>
      <c r="AB42" s="38">
        <v>1.0000000000000002</v>
      </c>
      <c r="AC42" s="38">
        <v>1.0000000000000002</v>
      </c>
      <c r="AD42" s="38">
        <v>1.0000000000000002</v>
      </c>
      <c r="AE42" s="38">
        <v>1.0000000000000002</v>
      </c>
      <c r="AF42" s="38">
        <v>1.0000000000000002</v>
      </c>
      <c r="AG42" s="38">
        <v>1.0000000000000002</v>
      </c>
      <c r="AH42" s="38"/>
      <c r="AI42" s="38">
        <v>1.0000000000000002</v>
      </c>
      <c r="AJ42" s="38">
        <v>0.8104166666666669</v>
      </c>
      <c r="AK42" s="38" t="s">
        <v>76</v>
      </c>
      <c r="AL42" s="39">
        <v>24.0</v>
      </c>
      <c r="AM42" s="39">
        <v>20.810416666666672</v>
      </c>
      <c r="AN42" s="39">
        <v>20.810416666666672</v>
      </c>
      <c r="AO42" s="39">
        <v>0.0</v>
      </c>
      <c r="AP42" s="39">
        <v>0.0</v>
      </c>
      <c r="AQ42" s="39">
        <v>0.0</v>
      </c>
      <c r="AR42" s="49">
        <v>1.0</v>
      </c>
      <c r="AS42" s="39">
        <v>2.0</v>
      </c>
      <c r="AT42" s="39">
        <v>0.0</v>
      </c>
      <c r="AU42" s="39">
        <v>1.0</v>
      </c>
      <c r="AV42" s="39">
        <v>0.0</v>
      </c>
      <c r="AW42" s="39">
        <v>0.0</v>
      </c>
      <c r="AX42" s="39">
        <v>0.0</v>
      </c>
      <c r="AY42" s="39">
        <v>0.0</v>
      </c>
      <c r="AZ42" s="39">
        <v>0.0</v>
      </c>
      <c r="BA42" s="39">
        <v>0.0</v>
      </c>
      <c r="BB42" s="39">
        <v>0.0</v>
      </c>
      <c r="BC42" s="39">
        <v>0.0</v>
      </c>
      <c r="BD42" s="39"/>
      <c r="BE42" s="39"/>
      <c r="BF42" s="40">
        <v>0.0</v>
      </c>
      <c r="BG42" s="40">
        <v>0.0</v>
      </c>
      <c r="BH42" s="40">
        <v>0.0</v>
      </c>
      <c r="BI42" s="40">
        <v>0.0</v>
      </c>
      <c r="BJ42" s="40"/>
      <c r="BK42" s="40"/>
      <c r="BL42" s="40"/>
      <c r="BM42" s="40"/>
      <c r="BN42" s="40"/>
      <c r="BO42" s="40">
        <v>0.0</v>
      </c>
      <c r="BP42" s="40">
        <v>0.0</v>
      </c>
      <c r="BQ42" s="40">
        <v>0.0</v>
      </c>
      <c r="BR42" s="40">
        <v>0.0</v>
      </c>
      <c r="BS42" s="40"/>
      <c r="BT42" s="40">
        <v>0.0</v>
      </c>
      <c r="BU42" s="40">
        <v>0.0</v>
      </c>
      <c r="BV42" s="40">
        <v>0.0</v>
      </c>
      <c r="BW42" s="40">
        <v>0.0</v>
      </c>
      <c r="BX42" s="40">
        <v>0.0</v>
      </c>
      <c r="BY42" s="40"/>
      <c r="BZ42" s="40"/>
      <c r="CA42" s="40">
        <v>0.0</v>
      </c>
      <c r="CB42" s="40">
        <v>0.0</v>
      </c>
      <c r="CC42" s="40">
        <v>0.0</v>
      </c>
      <c r="CD42" s="40">
        <v>0.0</v>
      </c>
      <c r="CE42" s="40">
        <v>0.0</v>
      </c>
      <c r="CF42" s="40">
        <v>0.0</v>
      </c>
      <c r="CG42" s="40"/>
      <c r="CH42" s="40">
        <v>0.0</v>
      </c>
      <c r="CI42" s="40">
        <v>1.0</v>
      </c>
      <c r="CJ42" s="40" t="s">
        <v>28</v>
      </c>
      <c r="CK42" s="40">
        <v>0.0</v>
      </c>
      <c r="CL42" s="40">
        <v>0.0</v>
      </c>
      <c r="CM42" s="40">
        <v>0.0</v>
      </c>
      <c r="CN42" s="40">
        <v>0.0</v>
      </c>
      <c r="CO42" s="40"/>
      <c r="CP42" s="40"/>
      <c r="CQ42" s="40"/>
      <c r="CR42" s="40"/>
      <c r="CS42" s="40"/>
      <c r="CT42" s="40">
        <v>0.0</v>
      </c>
      <c r="CU42" s="40">
        <v>0.0</v>
      </c>
      <c r="CV42" s="40">
        <v>0.0</v>
      </c>
      <c r="CW42" s="40">
        <v>0.0</v>
      </c>
      <c r="CX42" s="40"/>
      <c r="CY42" s="40">
        <v>0.0</v>
      </c>
      <c r="CZ42" s="40">
        <v>0.0</v>
      </c>
      <c r="DA42" s="40">
        <v>0.0</v>
      </c>
      <c r="DB42" s="40">
        <v>0.0</v>
      </c>
      <c r="DC42" s="40">
        <v>0.0</v>
      </c>
      <c r="DD42" s="40"/>
      <c r="DE42" s="40"/>
      <c r="DF42" s="40">
        <v>0.0</v>
      </c>
      <c r="DG42" s="40">
        <v>0.0</v>
      </c>
      <c r="DH42" s="40">
        <v>0.0</v>
      </c>
      <c r="DI42" s="40">
        <v>0.0</v>
      </c>
      <c r="DJ42" s="40">
        <v>0.0</v>
      </c>
      <c r="DK42" s="40">
        <v>0.0</v>
      </c>
      <c r="DL42" s="40"/>
      <c r="DM42" s="40">
        <v>0.0</v>
      </c>
      <c r="DN42" s="40">
        <v>0.0</v>
      </c>
      <c r="DO42" s="40"/>
      <c r="DP42" s="40">
        <v>0.0</v>
      </c>
      <c r="DQ42" s="40">
        <v>0.0</v>
      </c>
      <c r="DR42" s="40">
        <v>0.0</v>
      </c>
      <c r="DS42" s="40">
        <v>0.0</v>
      </c>
      <c r="DT42" s="40">
        <v>0.0</v>
      </c>
      <c r="DU42" s="40">
        <v>0.0</v>
      </c>
      <c r="DV42" s="40">
        <v>0.0</v>
      </c>
      <c r="DW42" s="40">
        <v>0.0</v>
      </c>
      <c r="DX42" s="40">
        <v>0.0</v>
      </c>
      <c r="DY42" s="40">
        <v>0.0</v>
      </c>
      <c r="DZ42" s="40">
        <v>0.0</v>
      </c>
      <c r="EA42" s="40">
        <v>0.0</v>
      </c>
      <c r="EB42" s="40">
        <v>0.0</v>
      </c>
      <c r="EC42" s="40">
        <v>0.0</v>
      </c>
      <c r="ED42" s="40">
        <v>0.0</v>
      </c>
      <c r="EE42" s="40">
        <v>0.0</v>
      </c>
      <c r="EF42" s="40">
        <v>0.0</v>
      </c>
      <c r="EG42" s="40">
        <v>0.0</v>
      </c>
      <c r="EH42" s="40">
        <v>0.0</v>
      </c>
      <c r="EI42" s="40">
        <v>0.0</v>
      </c>
      <c r="EJ42" s="40">
        <v>0.0</v>
      </c>
      <c r="EK42" s="40">
        <v>0.0</v>
      </c>
      <c r="EL42" s="40">
        <v>0.0</v>
      </c>
      <c r="EM42" s="40">
        <v>0.0</v>
      </c>
      <c r="EN42" s="40">
        <v>0.0</v>
      </c>
      <c r="EO42" s="40">
        <v>0.0</v>
      </c>
      <c r="EP42" s="40">
        <v>0.0</v>
      </c>
      <c r="EQ42" s="40">
        <v>0.0</v>
      </c>
      <c r="ER42" s="40">
        <v>0.0</v>
      </c>
      <c r="ES42" s="40">
        <v>0.0</v>
      </c>
      <c r="ET42" s="40">
        <v>0.0</v>
      </c>
      <c r="EU42" s="39">
        <v>21.000000000000004</v>
      </c>
      <c r="EV42" s="39"/>
    </row>
    <row r="43">
      <c r="A43" s="41">
        <v>22.0</v>
      </c>
      <c r="B43" s="42">
        <v>10006.0</v>
      </c>
      <c r="C43" s="41" t="s">
        <v>77</v>
      </c>
      <c r="D43" s="43"/>
      <c r="E43" s="43"/>
      <c r="F43" s="41" t="s">
        <v>75</v>
      </c>
      <c r="G43" s="44">
        <v>1.0000000000000002</v>
      </c>
      <c r="H43" s="44">
        <v>1.0000000000000002</v>
      </c>
      <c r="I43" s="44">
        <v>1.0000000000000002</v>
      </c>
      <c r="J43" s="44">
        <v>1.0000000000000002</v>
      </c>
      <c r="K43" s="44" t="s">
        <v>43</v>
      </c>
      <c r="L43" s="44"/>
      <c r="M43" s="44" t="s">
        <v>43</v>
      </c>
      <c r="N43" s="44"/>
      <c r="O43" s="44"/>
      <c r="P43" s="44">
        <v>1.0000000000000002</v>
      </c>
      <c r="Q43" s="44">
        <v>1.0000000000000002</v>
      </c>
      <c r="R43" s="44">
        <v>1.0000000000000002</v>
      </c>
      <c r="S43" s="44">
        <v>1.0000000000000002</v>
      </c>
      <c r="T43" s="44"/>
      <c r="U43" s="44">
        <v>1.0000000000000002</v>
      </c>
      <c r="V43" s="44">
        <v>1.0000000000000002</v>
      </c>
      <c r="W43" s="44">
        <v>1.0000000000000002</v>
      </c>
      <c r="X43" s="44">
        <v>1.0000000000000002</v>
      </c>
      <c r="Y43" s="44">
        <v>1.0000000000000002</v>
      </c>
      <c r="Z43" s="44"/>
      <c r="AA43" s="44"/>
      <c r="AB43" s="44">
        <v>1.0000000000000002</v>
      </c>
      <c r="AC43" s="44">
        <v>1.0000000000000002</v>
      </c>
      <c r="AD43" s="44">
        <v>1.0000000000000002</v>
      </c>
      <c r="AE43" s="44">
        <v>1.0000000000000002</v>
      </c>
      <c r="AF43" s="44">
        <v>0.9645833333333333</v>
      </c>
      <c r="AG43" s="44">
        <v>1.0000000000000002</v>
      </c>
      <c r="AH43" s="44"/>
      <c r="AI43" s="44">
        <v>1.0000000000000002</v>
      </c>
      <c r="AJ43" s="44">
        <v>1.0000000000000002</v>
      </c>
      <c r="AK43" s="44">
        <v>1.0000000000000002</v>
      </c>
      <c r="AL43" s="45">
        <v>24.0</v>
      </c>
      <c r="AM43" s="45">
        <v>21.964583333333337</v>
      </c>
      <c r="AN43" s="45">
        <v>21.964583333333337</v>
      </c>
      <c r="AO43" s="45">
        <v>0.0</v>
      </c>
      <c r="AP43" s="45">
        <v>0.0</v>
      </c>
      <c r="AQ43" s="45">
        <v>0.0</v>
      </c>
      <c r="AR43" s="45"/>
      <c r="AS43" s="45">
        <v>2.0</v>
      </c>
      <c r="AT43" s="45">
        <v>0.0</v>
      </c>
      <c r="AU43" s="45">
        <v>0.0</v>
      </c>
      <c r="AV43" s="45">
        <v>0.0</v>
      </c>
      <c r="AW43" s="45">
        <v>0.0</v>
      </c>
      <c r="AX43" s="45">
        <v>0.0</v>
      </c>
      <c r="AY43" s="45">
        <v>0.0</v>
      </c>
      <c r="AZ43" s="45">
        <v>0.0</v>
      </c>
      <c r="BA43" s="45">
        <v>0.0</v>
      </c>
      <c r="BB43" s="45">
        <v>0.0</v>
      </c>
      <c r="BC43" s="45">
        <v>0.0</v>
      </c>
      <c r="BD43" s="45"/>
      <c r="BE43" s="45"/>
      <c r="BF43" s="46">
        <v>0.0</v>
      </c>
      <c r="BG43" s="46">
        <v>0.0</v>
      </c>
      <c r="BH43" s="46"/>
      <c r="BI43" s="46">
        <v>0.0</v>
      </c>
      <c r="BJ43" s="46"/>
      <c r="BK43" s="46"/>
      <c r="BL43" s="46"/>
      <c r="BM43" s="46"/>
      <c r="BN43" s="46"/>
      <c r="BO43" s="46">
        <v>0.0</v>
      </c>
      <c r="BP43" s="46">
        <v>0.0</v>
      </c>
      <c r="BQ43" s="46">
        <v>0.0</v>
      </c>
      <c r="BR43" s="46">
        <v>0.0</v>
      </c>
      <c r="BS43" s="46"/>
      <c r="BT43" s="46">
        <v>0.0</v>
      </c>
      <c r="BU43" s="46">
        <v>0.0</v>
      </c>
      <c r="BV43" s="46">
        <v>0.0</v>
      </c>
      <c r="BW43" s="46">
        <v>0.0</v>
      </c>
      <c r="BX43" s="46">
        <v>0.0</v>
      </c>
      <c r="BY43" s="46"/>
      <c r="BZ43" s="46"/>
      <c r="CA43" s="46">
        <v>0.0</v>
      </c>
      <c r="CB43" s="46">
        <v>0.0</v>
      </c>
      <c r="CC43" s="46">
        <v>0.0</v>
      </c>
      <c r="CD43" s="46">
        <v>0.0</v>
      </c>
      <c r="CE43" s="46">
        <v>0.0</v>
      </c>
      <c r="CF43" s="46">
        <v>0.0</v>
      </c>
      <c r="CG43" s="46"/>
      <c r="CH43" s="46">
        <v>0.0</v>
      </c>
      <c r="CI43" s="46">
        <v>0.0</v>
      </c>
      <c r="CJ43" s="46">
        <v>0.0</v>
      </c>
      <c r="CK43" s="46">
        <v>0.0</v>
      </c>
      <c r="CL43" s="46">
        <v>0.0</v>
      </c>
      <c r="CM43" s="46">
        <v>0.0</v>
      </c>
      <c r="CN43" s="46">
        <v>0.0</v>
      </c>
      <c r="CO43" s="46"/>
      <c r="CP43" s="46"/>
      <c r="CQ43" s="46"/>
      <c r="CR43" s="46"/>
      <c r="CS43" s="46"/>
      <c r="CT43" s="46">
        <v>0.0</v>
      </c>
      <c r="CU43" s="46">
        <v>0.0</v>
      </c>
      <c r="CV43" s="46">
        <v>0.0</v>
      </c>
      <c r="CW43" s="46">
        <v>0.0</v>
      </c>
      <c r="CX43" s="46"/>
      <c r="CY43" s="46">
        <v>0.0</v>
      </c>
      <c r="CZ43" s="46">
        <v>0.0</v>
      </c>
      <c r="DA43" s="46">
        <v>0.0</v>
      </c>
      <c r="DB43" s="46">
        <v>0.0</v>
      </c>
      <c r="DC43" s="46">
        <v>0.0</v>
      </c>
      <c r="DD43" s="46"/>
      <c r="DE43" s="46"/>
      <c r="DF43" s="46">
        <v>0.0</v>
      </c>
      <c r="DG43" s="46">
        <v>0.0</v>
      </c>
      <c r="DH43" s="46">
        <v>0.0</v>
      </c>
      <c r="DI43" s="46">
        <v>0.0</v>
      </c>
      <c r="DJ43" s="46">
        <v>0.0</v>
      </c>
      <c r="DK43" s="46">
        <v>0.0</v>
      </c>
      <c r="DL43" s="46"/>
      <c r="DM43" s="46">
        <v>0.0</v>
      </c>
      <c r="DN43" s="46">
        <v>0.0</v>
      </c>
      <c r="DO43" s="46">
        <v>0.0</v>
      </c>
      <c r="DP43" s="46">
        <v>0.0</v>
      </c>
      <c r="DQ43" s="46">
        <v>0.0</v>
      </c>
      <c r="DR43" s="46">
        <v>0.0</v>
      </c>
      <c r="DS43" s="46">
        <v>0.0</v>
      </c>
      <c r="DT43" s="46">
        <v>0.0</v>
      </c>
      <c r="DU43" s="46">
        <v>0.0</v>
      </c>
      <c r="DV43" s="46">
        <v>0.0</v>
      </c>
      <c r="DW43" s="46">
        <v>0.0</v>
      </c>
      <c r="DX43" s="46">
        <v>0.0</v>
      </c>
      <c r="DY43" s="46">
        <v>0.0</v>
      </c>
      <c r="DZ43" s="46">
        <v>0.0</v>
      </c>
      <c r="EA43" s="46">
        <v>0.0</v>
      </c>
      <c r="EB43" s="46">
        <v>0.0</v>
      </c>
      <c r="EC43" s="46">
        <v>0.0</v>
      </c>
      <c r="ED43" s="46">
        <v>0.0</v>
      </c>
      <c r="EE43" s="46">
        <v>0.0</v>
      </c>
      <c r="EF43" s="46">
        <v>0.0</v>
      </c>
      <c r="EG43" s="46">
        <v>0.0</v>
      </c>
      <c r="EH43" s="46">
        <v>0.0</v>
      </c>
      <c r="EI43" s="46">
        <v>0.0</v>
      </c>
      <c r="EJ43" s="46">
        <v>0.0</v>
      </c>
      <c r="EK43" s="46">
        <v>0.0</v>
      </c>
      <c r="EL43" s="46">
        <v>0.0</v>
      </c>
      <c r="EM43" s="46">
        <v>0.0</v>
      </c>
      <c r="EN43" s="46">
        <v>0.0</v>
      </c>
      <c r="EO43" s="46">
        <v>0.0</v>
      </c>
      <c r="EP43" s="46">
        <v>0.0</v>
      </c>
      <c r="EQ43" s="46">
        <v>0.0</v>
      </c>
      <c r="ER43" s="46">
        <v>0.0</v>
      </c>
      <c r="ES43" s="46">
        <v>0.0</v>
      </c>
      <c r="ET43" s="46">
        <v>0.0</v>
      </c>
      <c r="EU43" s="45">
        <v>22.000000000000004</v>
      </c>
      <c r="EV43" s="45"/>
    </row>
    <row r="44">
      <c r="A44" s="35">
        <v>23.0</v>
      </c>
      <c r="B44" s="36">
        <v>10176.0</v>
      </c>
      <c r="C44" s="35" t="s">
        <v>78</v>
      </c>
      <c r="D44" s="37"/>
      <c r="E44" s="37"/>
      <c r="F44" s="35" t="s">
        <v>75</v>
      </c>
      <c r="G44" s="38">
        <v>1.0000000000000002</v>
      </c>
      <c r="H44" s="38">
        <v>1.0000000000000002</v>
      </c>
      <c r="I44" s="38">
        <v>1.0000000000000002</v>
      </c>
      <c r="J44" s="38">
        <v>1.0000000000000002</v>
      </c>
      <c r="K44" s="38" t="s">
        <v>43</v>
      </c>
      <c r="L44" s="38"/>
      <c r="M44" s="38" t="s">
        <v>43</v>
      </c>
      <c r="N44" s="38"/>
      <c r="O44" s="38"/>
      <c r="P44" s="38">
        <v>1.0000000000000002</v>
      </c>
      <c r="Q44" s="38">
        <v>0.9000000000000002</v>
      </c>
      <c r="R44" s="38">
        <v>1.0000000000000002</v>
      </c>
      <c r="S44" s="38">
        <v>1.0000000000000002</v>
      </c>
      <c r="T44" s="38"/>
      <c r="U44" s="38">
        <v>1.0000000000000002</v>
      </c>
      <c r="V44" s="38">
        <v>1.0000000000000002</v>
      </c>
      <c r="W44" s="38">
        <v>0.5</v>
      </c>
      <c r="X44" s="38" t="s">
        <v>48</v>
      </c>
      <c r="Y44" s="38">
        <v>0.5</v>
      </c>
      <c r="Z44" s="38"/>
      <c r="AA44" s="38"/>
      <c r="AB44" s="38">
        <v>0.6520833333333336</v>
      </c>
      <c r="AC44" s="38">
        <v>1.0000000000000002</v>
      </c>
      <c r="AD44" s="38">
        <v>1.0000000000000002</v>
      </c>
      <c r="AE44" s="38">
        <v>1.0000000000000002</v>
      </c>
      <c r="AF44" s="38">
        <v>1.0000000000000002</v>
      </c>
      <c r="AG44" s="38">
        <v>1.0000000000000002</v>
      </c>
      <c r="AH44" s="38"/>
      <c r="AI44" s="38">
        <v>1.0000000000000002</v>
      </c>
      <c r="AJ44" s="38">
        <v>1.0000000000000002</v>
      </c>
      <c r="AK44" s="38">
        <v>1.0000000000000002</v>
      </c>
      <c r="AL44" s="39">
        <v>24.0</v>
      </c>
      <c r="AM44" s="39">
        <v>19.552083333333336</v>
      </c>
      <c r="AN44" s="39">
        <v>19.552083333333336</v>
      </c>
      <c r="AO44" s="39">
        <v>0.0</v>
      </c>
      <c r="AP44" s="39">
        <v>0.0</v>
      </c>
      <c r="AQ44" s="39">
        <v>0.0</v>
      </c>
      <c r="AR44" s="39"/>
      <c r="AS44" s="39">
        <v>2.0</v>
      </c>
      <c r="AT44" s="39">
        <v>1.0</v>
      </c>
      <c r="AU44" s="39">
        <v>2.0</v>
      </c>
      <c r="AV44" s="39">
        <v>0.0</v>
      </c>
      <c r="AW44" s="39">
        <v>0.0</v>
      </c>
      <c r="AX44" s="39">
        <v>0.0</v>
      </c>
      <c r="AY44" s="39">
        <v>1.0</v>
      </c>
      <c r="AZ44" s="39">
        <v>0.0</v>
      </c>
      <c r="BA44" s="39">
        <v>0.0</v>
      </c>
      <c r="BB44" s="39">
        <v>0.0</v>
      </c>
      <c r="BC44" s="39">
        <v>0.0</v>
      </c>
      <c r="BD44" s="39"/>
      <c r="BE44" s="39"/>
      <c r="BF44" s="40">
        <v>0.0</v>
      </c>
      <c r="BG44" s="40">
        <v>0.0</v>
      </c>
      <c r="BH44" s="40">
        <v>0.0</v>
      </c>
      <c r="BI44" s="40">
        <v>0.0</v>
      </c>
      <c r="BJ44" s="40"/>
      <c r="BK44" s="40"/>
      <c r="BL44" s="40"/>
      <c r="BM44" s="40"/>
      <c r="BN44" s="40"/>
      <c r="BO44" s="40">
        <v>0.0</v>
      </c>
      <c r="BP44" s="40">
        <v>0.0</v>
      </c>
      <c r="BQ44" s="40">
        <v>0.0</v>
      </c>
      <c r="BR44" s="40">
        <v>0.0</v>
      </c>
      <c r="BS44" s="40"/>
      <c r="BT44" s="40">
        <v>0.0</v>
      </c>
      <c r="BU44" s="40">
        <v>0.0</v>
      </c>
      <c r="BV44" s="40">
        <v>0.0</v>
      </c>
      <c r="BW44" s="40" t="s">
        <v>28</v>
      </c>
      <c r="BX44" s="40"/>
      <c r="BY44" s="40"/>
      <c r="BZ44" s="40"/>
      <c r="CA44" s="40"/>
      <c r="CB44" s="40">
        <v>0.0</v>
      </c>
      <c r="CC44" s="40">
        <v>0.0</v>
      </c>
      <c r="CD44" s="40">
        <v>1.0</v>
      </c>
      <c r="CE44" s="40">
        <v>0.0</v>
      </c>
      <c r="CF44" s="40">
        <v>0.0</v>
      </c>
      <c r="CG44" s="40"/>
      <c r="CH44" s="40">
        <v>0.0</v>
      </c>
      <c r="CI44" s="40"/>
      <c r="CJ44" s="40">
        <v>1.0</v>
      </c>
      <c r="CK44" s="40">
        <v>0.0</v>
      </c>
      <c r="CL44" s="40">
        <v>0.0</v>
      </c>
      <c r="CM44" s="40">
        <v>0.0</v>
      </c>
      <c r="CN44" s="40">
        <v>0.0</v>
      </c>
      <c r="CO44" s="40"/>
      <c r="CP44" s="40"/>
      <c r="CQ44" s="40"/>
      <c r="CR44" s="40"/>
      <c r="CS44" s="40"/>
      <c r="CT44" s="40">
        <v>0.0</v>
      </c>
      <c r="CU44" s="40">
        <v>0.0</v>
      </c>
      <c r="CV44" s="40">
        <v>0.0</v>
      </c>
      <c r="CW44" s="40">
        <v>0.0</v>
      </c>
      <c r="CX44" s="40"/>
      <c r="CY44" s="40">
        <v>0.0</v>
      </c>
      <c r="CZ44" s="40">
        <v>0.0</v>
      </c>
      <c r="DA44" s="40">
        <v>0.0</v>
      </c>
      <c r="DB44" s="40"/>
      <c r="DC44" s="40"/>
      <c r="DD44" s="40"/>
      <c r="DE44" s="40"/>
      <c r="DF44" s="40">
        <v>0.0</v>
      </c>
      <c r="DG44" s="40">
        <v>0.0</v>
      </c>
      <c r="DH44" s="40">
        <v>0.0</v>
      </c>
      <c r="DI44" s="40">
        <v>0.0</v>
      </c>
      <c r="DJ44" s="40">
        <v>0.0</v>
      </c>
      <c r="DK44" s="40">
        <v>0.0</v>
      </c>
      <c r="DL44" s="40"/>
      <c r="DM44" s="40">
        <v>0.0</v>
      </c>
      <c r="DN44" s="40">
        <v>0.0</v>
      </c>
      <c r="DO44" s="40">
        <v>0.0</v>
      </c>
      <c r="DP44" s="40">
        <v>0.0</v>
      </c>
      <c r="DQ44" s="40">
        <v>0.0</v>
      </c>
      <c r="DR44" s="40">
        <v>0.0</v>
      </c>
      <c r="DS44" s="40">
        <v>0.0</v>
      </c>
      <c r="DT44" s="40">
        <v>0.0</v>
      </c>
      <c r="DU44" s="40">
        <v>0.0</v>
      </c>
      <c r="DV44" s="40">
        <v>0.0</v>
      </c>
      <c r="DW44" s="40">
        <v>0.0</v>
      </c>
      <c r="DX44" s="40">
        <v>0.0</v>
      </c>
      <c r="DY44" s="40">
        <v>0.0</v>
      </c>
      <c r="DZ44" s="40">
        <v>0.0</v>
      </c>
      <c r="EA44" s="40">
        <v>0.0</v>
      </c>
      <c r="EB44" s="40">
        <v>0.0</v>
      </c>
      <c r="EC44" s="40">
        <v>0.0</v>
      </c>
      <c r="ED44" s="40">
        <v>0.0</v>
      </c>
      <c r="EE44" s="40">
        <v>0.0</v>
      </c>
      <c r="EF44" s="40">
        <v>0.0</v>
      </c>
      <c r="EG44" s="40">
        <v>0.0</v>
      </c>
      <c r="EH44" s="40">
        <v>0.0</v>
      </c>
      <c r="EI44" s="40">
        <v>0.0</v>
      </c>
      <c r="EJ44" s="40">
        <v>0.0</v>
      </c>
      <c r="EK44" s="40">
        <v>0.0</v>
      </c>
      <c r="EL44" s="40">
        <v>0.0</v>
      </c>
      <c r="EM44" s="40">
        <v>0.0</v>
      </c>
      <c r="EN44" s="40">
        <v>0.0</v>
      </c>
      <c r="EO44" s="40">
        <v>0.0</v>
      </c>
      <c r="EP44" s="40">
        <v>0.0</v>
      </c>
      <c r="EQ44" s="40">
        <v>0.0</v>
      </c>
      <c r="ER44" s="40">
        <v>0.0</v>
      </c>
      <c r="ES44" s="40">
        <v>1.0</v>
      </c>
      <c r="ET44" s="40">
        <v>0.0</v>
      </c>
      <c r="EU44" s="39">
        <v>18.000000000000004</v>
      </c>
      <c r="EV44" s="39"/>
    </row>
    <row r="45">
      <c r="A45" s="41">
        <v>24.0</v>
      </c>
      <c r="B45" s="42">
        <v>10080.0</v>
      </c>
      <c r="C45" s="41" t="s">
        <v>79</v>
      </c>
      <c r="D45" s="43"/>
      <c r="E45" s="43"/>
      <c r="F45" s="41" t="s">
        <v>75</v>
      </c>
      <c r="G45" s="44">
        <v>1.0000000000000002</v>
      </c>
      <c r="H45" s="44">
        <v>1.0000000000000002</v>
      </c>
      <c r="I45" s="44">
        <v>1.0000000000000002</v>
      </c>
      <c r="J45" s="44">
        <v>1.0000000000000002</v>
      </c>
      <c r="K45" s="44" t="s">
        <v>43</v>
      </c>
      <c r="L45" s="44"/>
      <c r="M45" s="44" t="s">
        <v>43</v>
      </c>
      <c r="N45" s="44"/>
      <c r="O45" s="44"/>
      <c r="P45" s="44">
        <v>1.0000000000000002</v>
      </c>
      <c r="Q45" s="44">
        <v>1.0000000000000002</v>
      </c>
      <c r="R45" s="44">
        <v>1.0000000000000002</v>
      </c>
      <c r="S45" s="44">
        <v>1.0000000000000002</v>
      </c>
      <c r="T45" s="44"/>
      <c r="U45" s="44">
        <v>1.0000000000000002</v>
      </c>
      <c r="V45" s="44">
        <v>1.0000000000000002</v>
      </c>
      <c r="W45" s="44">
        <v>0.5000000000000002</v>
      </c>
      <c r="X45" s="44">
        <v>1.0000000000000002</v>
      </c>
      <c r="Y45" s="44">
        <v>1.0000000000000002</v>
      </c>
      <c r="Z45" s="44"/>
      <c r="AA45" s="44"/>
      <c r="AB45" s="44">
        <v>1.0000000000000002</v>
      </c>
      <c r="AC45" s="44">
        <v>1.0000000000000002</v>
      </c>
      <c r="AD45" s="44">
        <v>1.0000000000000002</v>
      </c>
      <c r="AE45" s="44">
        <v>1.0000000000000002</v>
      </c>
      <c r="AF45" s="44">
        <v>1.0000000000000002</v>
      </c>
      <c r="AG45" s="44">
        <v>1.0000000000000002</v>
      </c>
      <c r="AH45" s="44"/>
      <c r="AI45" s="44">
        <v>1.0000000000000002</v>
      </c>
      <c r="AJ45" s="44">
        <v>1.0000000000000002</v>
      </c>
      <c r="AK45" s="44">
        <v>1.0000000000000002</v>
      </c>
      <c r="AL45" s="45">
        <v>24.0</v>
      </c>
      <c r="AM45" s="45">
        <v>20.500000000000004</v>
      </c>
      <c r="AN45" s="45">
        <v>21.500000000000004</v>
      </c>
      <c r="AO45" s="45">
        <v>0.0</v>
      </c>
      <c r="AP45" s="45">
        <v>0.0</v>
      </c>
      <c r="AQ45" s="45">
        <v>0.0</v>
      </c>
      <c r="AR45" s="45"/>
      <c r="AS45" s="45">
        <v>2.0</v>
      </c>
      <c r="AT45" s="45">
        <v>0.0</v>
      </c>
      <c r="AU45" s="45">
        <v>3.0</v>
      </c>
      <c r="AV45" s="45">
        <v>1.0</v>
      </c>
      <c r="AW45" s="45">
        <v>0.0</v>
      </c>
      <c r="AX45" s="45">
        <v>0.0</v>
      </c>
      <c r="AY45" s="45">
        <v>0.0</v>
      </c>
      <c r="AZ45" s="45">
        <v>0.0</v>
      </c>
      <c r="BA45" s="45">
        <v>0.0</v>
      </c>
      <c r="BB45" s="45">
        <v>0.0</v>
      </c>
      <c r="BC45" s="45">
        <v>0.0</v>
      </c>
      <c r="BD45" s="45"/>
      <c r="BE45" s="45"/>
      <c r="BF45" s="46">
        <v>0.0</v>
      </c>
      <c r="BG45" s="46">
        <v>0.0</v>
      </c>
      <c r="BH45" s="46">
        <v>0.0</v>
      </c>
      <c r="BI45" s="46">
        <v>0.0</v>
      </c>
      <c r="BJ45" s="46"/>
      <c r="BK45" s="46"/>
      <c r="BL45" s="46"/>
      <c r="BM45" s="46"/>
      <c r="BN45" s="46"/>
      <c r="BO45" s="46">
        <v>0.0</v>
      </c>
      <c r="BP45" s="46">
        <v>0.0</v>
      </c>
      <c r="BQ45" s="46">
        <v>0.0</v>
      </c>
      <c r="BR45" s="46">
        <v>0.0</v>
      </c>
      <c r="BS45" s="46"/>
      <c r="BT45" s="46">
        <v>0.0</v>
      </c>
      <c r="BU45" s="46">
        <v>0.0</v>
      </c>
      <c r="BV45" s="46"/>
      <c r="BW45" s="46">
        <v>0.0</v>
      </c>
      <c r="BX45" s="46">
        <v>1.0</v>
      </c>
      <c r="BY45" s="46"/>
      <c r="BZ45" s="46"/>
      <c r="CA45" s="46">
        <v>0.0</v>
      </c>
      <c r="CB45" s="46">
        <v>1.0</v>
      </c>
      <c r="CC45" s="46">
        <v>0.0</v>
      </c>
      <c r="CD45" s="46">
        <v>0.0</v>
      </c>
      <c r="CE45" s="46">
        <v>0.0</v>
      </c>
      <c r="CF45" s="46">
        <v>0.0</v>
      </c>
      <c r="CG45" s="46"/>
      <c r="CH45" s="46">
        <v>1.0</v>
      </c>
      <c r="CI45" s="46">
        <v>0.0</v>
      </c>
      <c r="CJ45" s="46">
        <v>0.0</v>
      </c>
      <c r="CK45" s="46">
        <v>0.0</v>
      </c>
      <c r="CL45" s="46">
        <v>0.0</v>
      </c>
      <c r="CM45" s="46">
        <v>0.0</v>
      </c>
      <c r="CN45" s="46">
        <v>0.0</v>
      </c>
      <c r="CO45" s="46"/>
      <c r="CP45" s="46"/>
      <c r="CQ45" s="46"/>
      <c r="CR45" s="46"/>
      <c r="CS45" s="46"/>
      <c r="CT45" s="46">
        <v>0.0</v>
      </c>
      <c r="CU45" s="46">
        <v>0.0</v>
      </c>
      <c r="CV45" s="46">
        <v>0.0</v>
      </c>
      <c r="CW45" s="46">
        <v>0.0</v>
      </c>
      <c r="CX45" s="46"/>
      <c r="CY45" s="46">
        <v>0.0</v>
      </c>
      <c r="CZ45" s="46">
        <v>0.0</v>
      </c>
      <c r="DA45" s="46">
        <v>0.0</v>
      </c>
      <c r="DB45" s="46">
        <v>0.0</v>
      </c>
      <c r="DC45" s="46">
        <v>0.0</v>
      </c>
      <c r="DD45" s="46"/>
      <c r="DE45" s="46"/>
      <c r="DF45" s="46">
        <v>0.0</v>
      </c>
      <c r="DG45" s="46">
        <v>0.0</v>
      </c>
      <c r="DH45" s="46">
        <v>0.0</v>
      </c>
      <c r="DI45" s="46">
        <v>0.0</v>
      </c>
      <c r="DJ45" s="46">
        <v>0.0</v>
      </c>
      <c r="DK45" s="46">
        <v>0.0</v>
      </c>
      <c r="DL45" s="46"/>
      <c r="DM45" s="46">
        <v>0.0</v>
      </c>
      <c r="DN45" s="46">
        <v>0.0</v>
      </c>
      <c r="DO45" s="46">
        <v>0.0</v>
      </c>
      <c r="DP45" s="46">
        <v>0.0</v>
      </c>
      <c r="DQ45" s="46">
        <v>0.0</v>
      </c>
      <c r="DR45" s="46">
        <v>0.0</v>
      </c>
      <c r="DS45" s="46">
        <v>0.0</v>
      </c>
      <c r="DT45" s="46">
        <v>0.0</v>
      </c>
      <c r="DU45" s="46">
        <v>0.0</v>
      </c>
      <c r="DV45" s="46">
        <v>0.0</v>
      </c>
      <c r="DW45" s="46">
        <v>0.0</v>
      </c>
      <c r="DX45" s="46">
        <v>0.0</v>
      </c>
      <c r="DY45" s="46">
        <v>0.0</v>
      </c>
      <c r="DZ45" s="46">
        <v>0.0</v>
      </c>
      <c r="EA45" s="46">
        <v>0.0</v>
      </c>
      <c r="EB45" s="46">
        <v>0.0</v>
      </c>
      <c r="EC45" s="46">
        <v>0.0</v>
      </c>
      <c r="ED45" s="46">
        <v>0.0</v>
      </c>
      <c r="EE45" s="46">
        <v>0.0</v>
      </c>
      <c r="EF45" s="46">
        <v>0.0</v>
      </c>
      <c r="EG45" s="46">
        <v>0.0</v>
      </c>
      <c r="EH45" s="46">
        <v>0.0</v>
      </c>
      <c r="EI45" s="46">
        <v>0.0</v>
      </c>
      <c r="EJ45" s="46">
        <v>0.0</v>
      </c>
      <c r="EK45" s="46">
        <v>0.0</v>
      </c>
      <c r="EL45" s="46">
        <v>0.0</v>
      </c>
      <c r="EM45" s="46">
        <v>0.0</v>
      </c>
      <c r="EN45" s="46">
        <v>0.0</v>
      </c>
      <c r="EO45" s="46">
        <v>0.0</v>
      </c>
      <c r="EP45" s="46">
        <v>0.0</v>
      </c>
      <c r="EQ45" s="46">
        <v>0.0</v>
      </c>
      <c r="ER45" s="46">
        <v>0.0</v>
      </c>
      <c r="ES45" s="46">
        <v>0.0</v>
      </c>
      <c r="ET45" s="46">
        <v>0.0</v>
      </c>
      <c r="EU45" s="45">
        <v>22.000000000000004</v>
      </c>
      <c r="EV45" s="45"/>
    </row>
    <row r="46">
      <c r="A46" s="35">
        <v>25.0</v>
      </c>
      <c r="B46" s="36">
        <v>10011.0</v>
      </c>
      <c r="C46" s="35" t="s">
        <v>80</v>
      </c>
      <c r="D46" s="37"/>
      <c r="E46" s="37"/>
      <c r="F46" s="35" t="s">
        <v>75</v>
      </c>
      <c r="G46" s="38">
        <v>1.0000000000000002</v>
      </c>
      <c r="H46" s="38">
        <v>0.5</v>
      </c>
      <c r="I46" s="38">
        <v>1.0000000000000002</v>
      </c>
      <c r="J46" s="38">
        <v>1.0000000000000002</v>
      </c>
      <c r="K46" s="38" t="s">
        <v>43</v>
      </c>
      <c r="L46" s="38"/>
      <c r="M46" s="38" t="s">
        <v>43</v>
      </c>
      <c r="N46" s="38"/>
      <c r="O46" s="38"/>
      <c r="P46" s="38">
        <v>1.0000000000000002</v>
      </c>
      <c r="Q46" s="38">
        <v>1.0000000000000002</v>
      </c>
      <c r="R46" s="38">
        <v>1.0000000000000002</v>
      </c>
      <c r="S46" s="38">
        <v>1.0000000000000002</v>
      </c>
      <c r="T46" s="38"/>
      <c r="U46" s="38">
        <v>1.0000000000000002</v>
      </c>
      <c r="V46" s="38">
        <v>1.0000000000000002</v>
      </c>
      <c r="W46" s="38">
        <v>1.0000000000000002</v>
      </c>
      <c r="X46" s="38">
        <v>1.0000000000000002</v>
      </c>
      <c r="Y46" s="38">
        <v>1.0000000000000002</v>
      </c>
      <c r="Z46" s="38" t="s">
        <v>81</v>
      </c>
      <c r="AA46" s="38" t="s">
        <v>81</v>
      </c>
      <c r="AB46" s="38">
        <v>1.0000000000000002</v>
      </c>
      <c r="AC46" s="38">
        <v>1.0000000000000002</v>
      </c>
      <c r="AD46" s="38">
        <v>1.0000000000000002</v>
      </c>
      <c r="AE46" s="38">
        <v>0.5000000000000002</v>
      </c>
      <c r="AF46" s="38">
        <v>1.0000000000000002</v>
      </c>
      <c r="AG46" s="38">
        <v>1.0000000000000002</v>
      </c>
      <c r="AH46" s="38"/>
      <c r="AI46" s="38">
        <v>1.0000000000000002</v>
      </c>
      <c r="AJ46" s="38">
        <v>1.0000000000000002</v>
      </c>
      <c r="AK46" s="38">
        <v>0.5</v>
      </c>
      <c r="AL46" s="39">
        <v>24.0</v>
      </c>
      <c r="AM46" s="39">
        <v>19.000000000000004</v>
      </c>
      <c r="AN46" s="39">
        <v>20.500000000000004</v>
      </c>
      <c r="AO46" s="39">
        <v>2.0</v>
      </c>
      <c r="AP46" s="39">
        <v>0.0</v>
      </c>
      <c r="AQ46" s="39">
        <v>0.0</v>
      </c>
      <c r="AR46" s="39"/>
      <c r="AS46" s="39">
        <v>2.0</v>
      </c>
      <c r="AT46" s="39">
        <v>0.0</v>
      </c>
      <c r="AU46" s="39">
        <v>8.0</v>
      </c>
      <c r="AV46" s="39">
        <v>3.5</v>
      </c>
      <c r="AW46" s="39">
        <v>0.0</v>
      </c>
      <c r="AX46" s="39">
        <v>0.0</v>
      </c>
      <c r="AY46" s="39">
        <v>0.0</v>
      </c>
      <c r="AZ46" s="39">
        <v>0.0</v>
      </c>
      <c r="BA46" s="39">
        <v>0.0</v>
      </c>
      <c r="BB46" s="39">
        <v>0.0</v>
      </c>
      <c r="BC46" s="39">
        <v>0.0</v>
      </c>
      <c r="BD46" s="39"/>
      <c r="BE46" s="39"/>
      <c r="BF46" s="40">
        <v>1.0</v>
      </c>
      <c r="BG46" s="40" t="s">
        <v>28</v>
      </c>
      <c r="BH46" s="40">
        <v>1.0</v>
      </c>
      <c r="BI46" s="40">
        <v>0.0</v>
      </c>
      <c r="BJ46" s="40"/>
      <c r="BK46" s="40"/>
      <c r="BL46" s="40"/>
      <c r="BM46" s="40"/>
      <c r="BN46" s="40"/>
      <c r="BO46" s="40">
        <v>1.0</v>
      </c>
      <c r="BP46" s="40">
        <v>0.0</v>
      </c>
      <c r="BQ46" s="40">
        <v>1.0</v>
      </c>
      <c r="BR46" s="40">
        <v>0.0</v>
      </c>
      <c r="BS46" s="40"/>
      <c r="BT46" s="40">
        <v>0.0</v>
      </c>
      <c r="BU46" s="40">
        <v>0.0</v>
      </c>
      <c r="BV46" s="40">
        <v>1.0</v>
      </c>
      <c r="BW46" s="40">
        <v>0.0</v>
      </c>
      <c r="BX46" s="40">
        <v>1.0</v>
      </c>
      <c r="BY46" s="40" t="s">
        <v>28</v>
      </c>
      <c r="BZ46" s="40" t="s">
        <v>28</v>
      </c>
      <c r="CA46" s="40">
        <v>1.0</v>
      </c>
      <c r="CB46" s="40">
        <v>1.0</v>
      </c>
      <c r="CC46" s="40">
        <v>0.0</v>
      </c>
      <c r="CD46" s="40"/>
      <c r="CE46" s="40">
        <v>0.0</v>
      </c>
      <c r="CF46" s="40">
        <v>0.0</v>
      </c>
      <c r="CG46" s="40"/>
      <c r="CH46" s="40">
        <v>0.0</v>
      </c>
      <c r="CI46" s="40">
        <v>0.0</v>
      </c>
      <c r="CJ46" s="40" t="s">
        <v>28</v>
      </c>
      <c r="CK46" s="40">
        <v>0.0</v>
      </c>
      <c r="CL46" s="40">
        <v>1.0</v>
      </c>
      <c r="CM46" s="40">
        <v>0.0</v>
      </c>
      <c r="CN46" s="40">
        <v>0.0</v>
      </c>
      <c r="CO46" s="40"/>
      <c r="CP46" s="40"/>
      <c r="CQ46" s="40"/>
      <c r="CR46" s="40"/>
      <c r="CS46" s="40"/>
      <c r="CT46" s="40">
        <v>0.0</v>
      </c>
      <c r="CU46" s="40">
        <v>0.0</v>
      </c>
      <c r="CV46" s="40">
        <v>0.0</v>
      </c>
      <c r="CW46" s="40">
        <v>0.0</v>
      </c>
      <c r="CX46" s="40"/>
      <c r="CY46" s="40">
        <v>0.0</v>
      </c>
      <c r="CZ46" s="40">
        <v>0.0</v>
      </c>
      <c r="DA46" s="40">
        <v>0.0</v>
      </c>
      <c r="DB46" s="40">
        <v>0.0</v>
      </c>
      <c r="DC46" s="40">
        <v>0.0</v>
      </c>
      <c r="DD46" s="40"/>
      <c r="DE46" s="40"/>
      <c r="DF46" s="40">
        <v>0.0</v>
      </c>
      <c r="DG46" s="40">
        <v>0.0</v>
      </c>
      <c r="DH46" s="40">
        <v>0.0</v>
      </c>
      <c r="DI46" s="40">
        <v>0.0</v>
      </c>
      <c r="DJ46" s="40">
        <v>0.0</v>
      </c>
      <c r="DK46" s="40">
        <v>0.0</v>
      </c>
      <c r="DL46" s="40"/>
      <c r="DM46" s="40">
        <v>0.0</v>
      </c>
      <c r="DN46" s="40">
        <v>0.0</v>
      </c>
      <c r="DO46" s="40">
        <v>1.0</v>
      </c>
      <c r="DP46" s="40">
        <v>0.0</v>
      </c>
      <c r="DQ46" s="40">
        <v>0.0</v>
      </c>
      <c r="DR46" s="40">
        <v>0.0</v>
      </c>
      <c r="DS46" s="40">
        <v>0.0</v>
      </c>
      <c r="DT46" s="40">
        <v>0.0</v>
      </c>
      <c r="DU46" s="40">
        <v>0.0</v>
      </c>
      <c r="DV46" s="40">
        <v>0.0</v>
      </c>
      <c r="DW46" s="40">
        <v>0.0</v>
      </c>
      <c r="DX46" s="40">
        <v>0.0</v>
      </c>
      <c r="DY46" s="40">
        <v>0.0</v>
      </c>
      <c r="DZ46" s="40">
        <v>0.0</v>
      </c>
      <c r="EA46" s="40">
        <v>0.0</v>
      </c>
      <c r="EB46" s="40">
        <v>0.0</v>
      </c>
      <c r="EC46" s="40">
        <v>0.0</v>
      </c>
      <c r="ED46" s="40">
        <v>0.0</v>
      </c>
      <c r="EE46" s="40">
        <v>0.0</v>
      </c>
      <c r="EF46" s="40">
        <v>0.0</v>
      </c>
      <c r="EG46" s="40">
        <v>0.0</v>
      </c>
      <c r="EH46" s="40">
        <v>0.0</v>
      </c>
      <c r="EI46" s="40">
        <v>0.0</v>
      </c>
      <c r="EJ46" s="40">
        <v>0.0</v>
      </c>
      <c r="EK46" s="40">
        <v>0.0</v>
      </c>
      <c r="EL46" s="40">
        <v>0.0</v>
      </c>
      <c r="EM46" s="40">
        <v>0.0</v>
      </c>
      <c r="EN46" s="40">
        <v>0.0</v>
      </c>
      <c r="EO46" s="40">
        <v>0.0</v>
      </c>
      <c r="EP46" s="40">
        <v>0.0</v>
      </c>
      <c r="EQ46" s="40">
        <v>0.0</v>
      </c>
      <c r="ER46" s="40">
        <v>0.0</v>
      </c>
      <c r="ES46" s="40">
        <v>0.0</v>
      </c>
      <c r="ET46" s="40">
        <v>0.0</v>
      </c>
      <c r="EU46" s="39">
        <v>20.000000000000004</v>
      </c>
      <c r="EV46" s="39"/>
    </row>
    <row r="47">
      <c r="A47" s="41">
        <v>26.0</v>
      </c>
      <c r="B47" s="42">
        <v>10360.0</v>
      </c>
      <c r="C47" s="41" t="s">
        <v>82</v>
      </c>
      <c r="D47" s="43"/>
      <c r="E47" s="43"/>
      <c r="F47" s="41" t="s">
        <v>75</v>
      </c>
      <c r="G47" s="44">
        <v>1.0000000000000002</v>
      </c>
      <c r="H47" s="44">
        <v>1.0000000000000002</v>
      </c>
      <c r="I47" s="44">
        <v>1.0000000000000002</v>
      </c>
      <c r="J47" s="44">
        <v>1.0000000000000002</v>
      </c>
      <c r="K47" s="44" t="s">
        <v>43</v>
      </c>
      <c r="L47" s="44"/>
      <c r="M47" s="44" t="s">
        <v>60</v>
      </c>
      <c r="N47" s="44"/>
      <c r="O47" s="44"/>
      <c r="P47" s="44">
        <v>1.0000000000000002</v>
      </c>
      <c r="Q47" s="44">
        <v>1.0000000000000002</v>
      </c>
      <c r="R47" s="44">
        <v>1.0000000000000002</v>
      </c>
      <c r="S47" s="44">
        <v>1.0000000000000002</v>
      </c>
      <c r="T47" s="44"/>
      <c r="U47" s="44">
        <v>1.0000000000000002</v>
      </c>
      <c r="V47" s="44">
        <v>1.0000000000000002</v>
      </c>
      <c r="W47" s="44">
        <v>1.0000000000000002</v>
      </c>
      <c r="X47" s="44">
        <v>1.0000000000000002</v>
      </c>
      <c r="Y47" s="44">
        <v>1.0000000000000002</v>
      </c>
      <c r="Z47" s="44">
        <v>0.48750000000000027</v>
      </c>
      <c r="AA47" s="44">
        <v>0.7187500000000002</v>
      </c>
      <c r="AB47" s="44">
        <v>1.0000000000000002</v>
      </c>
      <c r="AC47" s="44">
        <v>1.0000000000000002</v>
      </c>
      <c r="AD47" s="44">
        <v>1.0000000000000002</v>
      </c>
      <c r="AE47" s="44">
        <v>1.0000000000000002</v>
      </c>
      <c r="AF47" s="44">
        <v>1.0000000000000002</v>
      </c>
      <c r="AG47" s="44">
        <v>1.0000000000000002</v>
      </c>
      <c r="AH47" s="44">
        <v>1.0000000000000002</v>
      </c>
      <c r="AI47" s="44">
        <v>1.0000000000000002</v>
      </c>
      <c r="AJ47" s="44">
        <v>1.0000000000000002</v>
      </c>
      <c r="AK47" s="44">
        <v>1.0000000000000002</v>
      </c>
      <c r="AL47" s="45">
        <v>24.0</v>
      </c>
      <c r="AM47" s="45">
        <v>22.000000000000004</v>
      </c>
      <c r="AN47" s="45">
        <v>22.000000000000004</v>
      </c>
      <c r="AO47" s="45">
        <v>0.0</v>
      </c>
      <c r="AP47" s="45">
        <v>0.0</v>
      </c>
      <c r="AQ47" s="45">
        <v>0.0</v>
      </c>
      <c r="AR47" s="50">
        <v>1.5</v>
      </c>
      <c r="AS47" s="50">
        <v>1.5</v>
      </c>
      <c r="AT47" s="45">
        <v>0.0</v>
      </c>
      <c r="AU47" s="45">
        <v>1.0</v>
      </c>
      <c r="AV47" s="45">
        <v>0.0</v>
      </c>
      <c r="AW47" s="45">
        <v>2.2062500000000007</v>
      </c>
      <c r="AX47" s="45">
        <v>0.0</v>
      </c>
      <c r="AY47" s="45">
        <v>4.0</v>
      </c>
      <c r="AZ47" s="45">
        <v>0.0</v>
      </c>
      <c r="BA47" s="45">
        <v>0.0</v>
      </c>
      <c r="BB47" s="45">
        <v>0.0</v>
      </c>
      <c r="BC47" s="45">
        <v>0.0</v>
      </c>
      <c r="BD47" s="45"/>
      <c r="BE47" s="45"/>
      <c r="BF47" s="46">
        <v>0.0</v>
      </c>
      <c r="BG47" s="46">
        <v>0.0</v>
      </c>
      <c r="BH47" s="46">
        <v>0.0</v>
      </c>
      <c r="BI47" s="46">
        <v>0.0</v>
      </c>
      <c r="BJ47" s="46"/>
      <c r="BK47" s="46"/>
      <c r="BL47" s="46" t="s">
        <v>28</v>
      </c>
      <c r="BM47" s="46"/>
      <c r="BN47" s="46"/>
      <c r="BO47" s="46">
        <v>0.0</v>
      </c>
      <c r="BP47" s="46">
        <v>0.0</v>
      </c>
      <c r="BQ47" s="46">
        <v>1.0</v>
      </c>
      <c r="BR47" s="46">
        <v>0.0</v>
      </c>
      <c r="BS47" s="46"/>
      <c r="BT47" s="46">
        <v>0.0</v>
      </c>
      <c r="BU47" s="46">
        <v>0.0</v>
      </c>
      <c r="BV47" s="46">
        <v>0.0</v>
      </c>
      <c r="BW47" s="46">
        <v>0.0</v>
      </c>
      <c r="BX47" s="46">
        <v>0.0</v>
      </c>
      <c r="BY47" s="46"/>
      <c r="BZ47" s="46"/>
      <c r="CA47" s="46"/>
      <c r="CB47" s="46"/>
      <c r="CC47" s="46">
        <v>0.0</v>
      </c>
      <c r="CD47" s="46">
        <v>0.0</v>
      </c>
      <c r="CE47" s="46"/>
      <c r="CF47" s="46">
        <v>0.0</v>
      </c>
      <c r="CG47" s="46"/>
      <c r="CH47" s="46">
        <v>0.0</v>
      </c>
      <c r="CI47" s="46"/>
      <c r="CJ47" s="46">
        <v>0.0</v>
      </c>
      <c r="CK47" s="46">
        <v>0.0</v>
      </c>
      <c r="CL47" s="46">
        <v>0.0</v>
      </c>
      <c r="CM47" s="46">
        <v>0.0</v>
      </c>
      <c r="CN47" s="46">
        <v>0.0</v>
      </c>
      <c r="CO47" s="46"/>
      <c r="CP47" s="46"/>
      <c r="CQ47" s="46"/>
      <c r="CR47" s="46"/>
      <c r="CS47" s="46"/>
      <c r="CT47" s="46">
        <v>0.0</v>
      </c>
      <c r="CU47" s="46">
        <v>0.0</v>
      </c>
      <c r="CV47" s="46">
        <v>0.0</v>
      </c>
      <c r="CW47" s="46">
        <v>0.0</v>
      </c>
      <c r="CX47" s="46"/>
      <c r="CY47" s="46">
        <v>0.0</v>
      </c>
      <c r="CZ47" s="46">
        <v>0.0</v>
      </c>
      <c r="DA47" s="46">
        <v>0.0</v>
      </c>
      <c r="DB47" s="46">
        <v>0.0</v>
      </c>
      <c r="DC47" s="46">
        <v>0.0</v>
      </c>
      <c r="DD47" s="46">
        <v>0.0</v>
      </c>
      <c r="DE47" s="46">
        <v>0.0</v>
      </c>
      <c r="DF47" s="46">
        <v>0.0</v>
      </c>
      <c r="DG47" s="46">
        <v>0.0</v>
      </c>
      <c r="DH47" s="46">
        <v>0.0</v>
      </c>
      <c r="DI47" s="46">
        <v>0.0</v>
      </c>
      <c r="DJ47" s="46">
        <v>0.0</v>
      </c>
      <c r="DK47" s="46">
        <v>0.0</v>
      </c>
      <c r="DL47" s="46">
        <v>0.0</v>
      </c>
      <c r="DM47" s="46">
        <v>0.0</v>
      </c>
      <c r="DN47" s="46">
        <v>0.0</v>
      </c>
      <c r="DO47" s="46">
        <v>0.0</v>
      </c>
      <c r="DP47" s="46">
        <v>0.0</v>
      </c>
      <c r="DQ47" s="46">
        <v>0.0</v>
      </c>
      <c r="DR47" s="46">
        <v>0.0</v>
      </c>
      <c r="DS47" s="46">
        <v>0.0</v>
      </c>
      <c r="DT47" s="46">
        <v>0.0</v>
      </c>
      <c r="DU47" s="46">
        <v>0.0</v>
      </c>
      <c r="DV47" s="46">
        <v>0.0</v>
      </c>
      <c r="DW47" s="46">
        <v>0.0</v>
      </c>
      <c r="DX47" s="46">
        <v>0.0</v>
      </c>
      <c r="DY47" s="46">
        <v>0.0</v>
      </c>
      <c r="DZ47" s="46">
        <v>0.0</v>
      </c>
      <c r="EA47" s="46">
        <v>0.0</v>
      </c>
      <c r="EB47" s="46">
        <v>0.0</v>
      </c>
      <c r="EC47" s="46">
        <v>0.0</v>
      </c>
      <c r="ED47" s="46">
        <v>0.0</v>
      </c>
      <c r="EE47" s="46">
        <v>0.0</v>
      </c>
      <c r="EF47" s="46">
        <v>0.0</v>
      </c>
      <c r="EG47" s="46">
        <v>0.0</v>
      </c>
      <c r="EH47" s="46">
        <v>0.0</v>
      </c>
      <c r="EI47" s="46">
        <v>0.0</v>
      </c>
      <c r="EJ47" s="46">
        <v>0.0</v>
      </c>
      <c r="EK47" s="46">
        <v>1.0</v>
      </c>
      <c r="EL47" s="46">
        <v>0.0</v>
      </c>
      <c r="EM47" s="46">
        <v>0.0</v>
      </c>
      <c r="EN47" s="46">
        <v>1.0</v>
      </c>
      <c r="EO47" s="46">
        <v>1.0</v>
      </c>
      <c r="EP47" s="46">
        <v>0.0</v>
      </c>
      <c r="EQ47" s="46">
        <v>0.0</v>
      </c>
      <c r="ER47" s="46">
        <v>0.0</v>
      </c>
      <c r="ES47" s="46">
        <v>1.0</v>
      </c>
      <c r="ET47" s="46">
        <v>0.0</v>
      </c>
      <c r="EU47" s="45">
        <v>24.000000000000004</v>
      </c>
      <c r="EV47" s="45"/>
    </row>
    <row r="48">
      <c r="A48" s="35">
        <v>27.0</v>
      </c>
      <c r="B48" s="36">
        <v>10403.0</v>
      </c>
      <c r="C48" s="35" t="s">
        <v>83</v>
      </c>
      <c r="D48" s="37"/>
      <c r="E48" s="37"/>
      <c r="F48" s="35" t="s">
        <v>75</v>
      </c>
      <c r="G48" s="38">
        <v>0.5</v>
      </c>
      <c r="H48" s="38">
        <v>1.0000000000000002</v>
      </c>
      <c r="I48" s="38">
        <v>1.0000000000000002</v>
      </c>
      <c r="J48" s="38">
        <v>1.0000000000000002</v>
      </c>
      <c r="K48" s="38" t="s">
        <v>43</v>
      </c>
      <c r="L48" s="38"/>
      <c r="M48" s="38">
        <v>0.8916666666666668</v>
      </c>
      <c r="N48" s="38"/>
      <c r="O48" s="38"/>
      <c r="P48" s="38">
        <v>1.0000000000000002</v>
      </c>
      <c r="Q48" s="38">
        <v>1.0000000000000002</v>
      </c>
      <c r="R48" s="38">
        <v>1.0000000000000002</v>
      </c>
      <c r="S48" s="38"/>
      <c r="T48" s="38">
        <v>1.0000000000000002</v>
      </c>
      <c r="U48" s="38">
        <v>1.0000000000000002</v>
      </c>
      <c r="V48" s="38">
        <v>1.0000000000000002</v>
      </c>
      <c r="W48" s="38">
        <v>1.0000000000000002</v>
      </c>
      <c r="X48" s="38">
        <v>1.0000000000000002</v>
      </c>
      <c r="Y48" s="38">
        <v>1.0000000000000002</v>
      </c>
      <c r="Z48" s="38"/>
      <c r="AA48" s="38">
        <v>0.5000000000000002</v>
      </c>
      <c r="AB48" s="38">
        <v>1.0000000000000002</v>
      </c>
      <c r="AC48" s="38">
        <v>1.0000000000000002</v>
      </c>
      <c r="AD48" s="38">
        <v>1.0000000000000002</v>
      </c>
      <c r="AE48" s="38">
        <v>1.0000000000000002</v>
      </c>
      <c r="AF48" s="38">
        <v>1.0000000000000002</v>
      </c>
      <c r="AG48" s="38">
        <v>0.5</v>
      </c>
      <c r="AH48" s="38"/>
      <c r="AI48" s="38">
        <v>1.0000000000000002</v>
      </c>
      <c r="AJ48" s="38">
        <v>1.0000000000000002</v>
      </c>
      <c r="AK48" s="38">
        <v>1.0000000000000002</v>
      </c>
      <c r="AL48" s="39">
        <v>24.0</v>
      </c>
      <c r="AM48" s="39">
        <v>20.000000000000004</v>
      </c>
      <c r="AN48" s="39">
        <v>20.000000000000004</v>
      </c>
      <c r="AO48" s="39">
        <v>0.0</v>
      </c>
      <c r="AP48" s="39">
        <v>0.0</v>
      </c>
      <c r="AQ48" s="39">
        <v>0.0</v>
      </c>
      <c r="AR48" s="39"/>
      <c r="AS48" s="39">
        <v>1.1083333333333332</v>
      </c>
      <c r="AT48" s="39">
        <v>0.0</v>
      </c>
      <c r="AU48" s="39">
        <v>1.0</v>
      </c>
      <c r="AV48" s="39">
        <v>0.0</v>
      </c>
      <c r="AW48" s="39">
        <v>0.0</v>
      </c>
      <c r="AX48" s="39">
        <v>0.8916666666666668</v>
      </c>
      <c r="AY48" s="39">
        <v>9.0</v>
      </c>
      <c r="AZ48" s="39">
        <v>2.0</v>
      </c>
      <c r="BA48" s="39">
        <v>0.0</v>
      </c>
      <c r="BB48" s="39">
        <v>0.0</v>
      </c>
      <c r="BC48" s="39">
        <v>0.0</v>
      </c>
      <c r="BD48" s="39"/>
      <c r="BE48" s="39"/>
      <c r="BF48" s="40" t="s">
        <v>28</v>
      </c>
      <c r="BG48" s="40">
        <v>0.0</v>
      </c>
      <c r="BH48" s="40"/>
      <c r="BI48" s="40"/>
      <c r="BJ48" s="40"/>
      <c r="BK48" s="40"/>
      <c r="BL48" s="40"/>
      <c r="BM48" s="40"/>
      <c r="BN48" s="40"/>
      <c r="BO48" s="40">
        <v>1.0</v>
      </c>
      <c r="BP48" s="40">
        <v>0.0</v>
      </c>
      <c r="BQ48" s="40"/>
      <c r="BR48" s="40"/>
      <c r="BS48" s="40"/>
      <c r="BT48" s="40"/>
      <c r="BU48" s="40"/>
      <c r="BV48" s="40">
        <v>0.0</v>
      </c>
      <c r="BW48" s="40">
        <v>0.0</v>
      </c>
      <c r="BX48" s="40"/>
      <c r="BY48" s="40"/>
      <c r="BZ48" s="40"/>
      <c r="CA48" s="40"/>
      <c r="CB48" s="40"/>
      <c r="CC48" s="40"/>
      <c r="CD48" s="40"/>
      <c r="CE48" s="40"/>
      <c r="CF48" s="40" t="s">
        <v>28</v>
      </c>
      <c r="CG48" s="40"/>
      <c r="CH48" s="40"/>
      <c r="CI48" s="40"/>
      <c r="CJ48" s="40"/>
      <c r="CK48" s="40">
        <v>1.0</v>
      </c>
      <c r="CL48" s="40">
        <v>0.0</v>
      </c>
      <c r="CM48" s="40">
        <v>0.0</v>
      </c>
      <c r="CN48" s="40">
        <v>0.0</v>
      </c>
      <c r="CO48" s="40"/>
      <c r="CP48" s="40"/>
      <c r="CQ48" s="40">
        <v>0.0</v>
      </c>
      <c r="CR48" s="40"/>
      <c r="CS48" s="40"/>
      <c r="CT48" s="40">
        <v>0.0</v>
      </c>
      <c r="CU48" s="40">
        <v>0.0</v>
      </c>
      <c r="CV48" s="40">
        <v>0.0</v>
      </c>
      <c r="CW48" s="40"/>
      <c r="CX48" s="40">
        <v>0.0</v>
      </c>
      <c r="CY48" s="40">
        <v>0.0</v>
      </c>
      <c r="CZ48" s="40">
        <v>0.0</v>
      </c>
      <c r="DA48" s="40">
        <v>0.0</v>
      </c>
      <c r="DB48" s="40">
        <v>0.0</v>
      </c>
      <c r="DC48" s="40">
        <v>0.0</v>
      </c>
      <c r="DD48" s="40"/>
      <c r="DE48" s="40">
        <v>0.0</v>
      </c>
      <c r="DF48" s="40">
        <v>0.0</v>
      </c>
      <c r="DG48" s="40">
        <v>0.0</v>
      </c>
      <c r="DH48" s="40">
        <v>0.0</v>
      </c>
      <c r="DI48" s="40">
        <v>0.0</v>
      </c>
      <c r="DJ48" s="40">
        <v>0.0</v>
      </c>
      <c r="DK48" s="40">
        <v>1.0</v>
      </c>
      <c r="DL48" s="40"/>
      <c r="DM48" s="40">
        <v>0.0</v>
      </c>
      <c r="DN48" s="40">
        <v>0.0</v>
      </c>
      <c r="DO48" s="40">
        <v>0.0</v>
      </c>
      <c r="DP48" s="40">
        <v>0.0</v>
      </c>
      <c r="DQ48" s="40">
        <v>1.0</v>
      </c>
      <c r="DR48" s="40">
        <v>1.0</v>
      </c>
      <c r="DS48" s="40">
        <v>0.0</v>
      </c>
      <c r="DT48" s="40">
        <v>0.0</v>
      </c>
      <c r="DU48" s="40">
        <v>0.0</v>
      </c>
      <c r="DV48" s="40">
        <v>1.0</v>
      </c>
      <c r="DW48" s="40">
        <v>0.0</v>
      </c>
      <c r="DX48" s="40">
        <v>0.0</v>
      </c>
      <c r="DY48" s="40">
        <v>0.0</v>
      </c>
      <c r="DZ48" s="40">
        <v>1.0</v>
      </c>
      <c r="EA48" s="40">
        <v>0.0</v>
      </c>
      <c r="EB48" s="40">
        <v>0.0</v>
      </c>
      <c r="EC48" s="40">
        <v>0.0</v>
      </c>
      <c r="ED48" s="40">
        <v>1.0</v>
      </c>
      <c r="EE48" s="40">
        <v>0.0</v>
      </c>
      <c r="EF48" s="40">
        <v>0.0</v>
      </c>
      <c r="EG48" s="40">
        <v>0.0</v>
      </c>
      <c r="EH48" s="40">
        <v>0.0</v>
      </c>
      <c r="EI48" s="40">
        <v>0.0</v>
      </c>
      <c r="EJ48" s="40">
        <v>1.0</v>
      </c>
      <c r="EK48" s="40">
        <v>0.0</v>
      </c>
      <c r="EL48" s="40">
        <v>1.0</v>
      </c>
      <c r="EM48" s="40">
        <v>0.0</v>
      </c>
      <c r="EN48" s="40">
        <v>1.0</v>
      </c>
      <c r="EO48" s="40">
        <v>0.0</v>
      </c>
      <c r="EP48" s="40">
        <v>0.0</v>
      </c>
      <c r="EQ48" s="40">
        <v>0.0</v>
      </c>
      <c r="ER48" s="40">
        <v>1.0</v>
      </c>
      <c r="ES48" s="40">
        <v>1.0</v>
      </c>
      <c r="ET48" s="40">
        <v>1.0</v>
      </c>
      <c r="EU48" s="39">
        <v>21.000000000000004</v>
      </c>
      <c r="EV48" s="39"/>
    </row>
    <row r="49">
      <c r="A49" s="41">
        <v>28.0</v>
      </c>
      <c r="B49" s="42">
        <v>10189.0</v>
      </c>
      <c r="C49" s="41" t="s">
        <v>84</v>
      </c>
      <c r="D49" s="43"/>
      <c r="E49" s="43"/>
      <c r="F49" s="41" t="s">
        <v>75</v>
      </c>
      <c r="G49" s="44">
        <v>1.0000000000000002</v>
      </c>
      <c r="H49" s="44">
        <v>1.0000000000000002</v>
      </c>
      <c r="I49" s="44">
        <v>1.0000000000000002</v>
      </c>
      <c r="J49" s="44">
        <v>1.0000000000000002</v>
      </c>
      <c r="K49" s="44" t="s">
        <v>43</v>
      </c>
      <c r="L49" s="44"/>
      <c r="M49" s="44" t="s">
        <v>43</v>
      </c>
      <c r="N49" s="44"/>
      <c r="O49" s="44"/>
      <c r="P49" s="44">
        <v>1.0000000000000002</v>
      </c>
      <c r="Q49" s="44">
        <v>1.0000000000000002</v>
      </c>
      <c r="R49" s="44" t="s">
        <v>48</v>
      </c>
      <c r="S49" s="44"/>
      <c r="T49" s="44"/>
      <c r="U49" s="44">
        <v>1.0000000000000002</v>
      </c>
      <c r="V49" s="44">
        <v>1.0000000000000002</v>
      </c>
      <c r="W49" s="44">
        <v>1.0000000000000002</v>
      </c>
      <c r="X49" s="44">
        <v>1.0000000000000002</v>
      </c>
      <c r="Y49" s="44">
        <v>1.0000000000000002</v>
      </c>
      <c r="Z49" s="44"/>
      <c r="AA49" s="44"/>
      <c r="AB49" s="44">
        <v>1.0000000000000002</v>
      </c>
      <c r="AC49" s="44">
        <v>1.0000000000000002</v>
      </c>
      <c r="AD49" s="44">
        <v>1.0000000000000002</v>
      </c>
      <c r="AE49" s="44">
        <v>1.0000000000000002</v>
      </c>
      <c r="AF49" s="44">
        <v>1.0000000000000002</v>
      </c>
      <c r="AG49" s="44">
        <v>1.0000000000000002</v>
      </c>
      <c r="AH49" s="44"/>
      <c r="AI49" s="44">
        <v>1.0000000000000002</v>
      </c>
      <c r="AJ49" s="44">
        <v>1.0000000000000002</v>
      </c>
      <c r="AK49" s="44">
        <v>1.0000000000000002</v>
      </c>
      <c r="AL49" s="45">
        <v>24.0</v>
      </c>
      <c r="AM49" s="45">
        <v>20.000000000000004</v>
      </c>
      <c r="AN49" s="45">
        <v>20.000000000000004</v>
      </c>
      <c r="AO49" s="45">
        <v>0.0</v>
      </c>
      <c r="AP49" s="45">
        <v>0.0</v>
      </c>
      <c r="AQ49" s="45">
        <v>0.0</v>
      </c>
      <c r="AR49" s="45"/>
      <c r="AS49" s="45">
        <v>2.0</v>
      </c>
      <c r="AT49" s="45">
        <v>1.0</v>
      </c>
      <c r="AU49" s="45">
        <v>1.0</v>
      </c>
      <c r="AV49" s="45">
        <v>0.0</v>
      </c>
      <c r="AW49" s="45">
        <v>0.0</v>
      </c>
      <c r="AX49" s="45">
        <v>0.0</v>
      </c>
      <c r="AY49" s="45">
        <v>0.0</v>
      </c>
      <c r="AZ49" s="45">
        <v>0.0</v>
      </c>
      <c r="BA49" s="45">
        <v>0.0</v>
      </c>
      <c r="BB49" s="45">
        <v>0.0</v>
      </c>
      <c r="BC49" s="45">
        <v>0.0</v>
      </c>
      <c r="BD49" s="45"/>
      <c r="BE49" s="45"/>
      <c r="BF49" s="46">
        <v>0.0</v>
      </c>
      <c r="BG49" s="46">
        <v>0.0</v>
      </c>
      <c r="BH49" s="46">
        <v>0.0</v>
      </c>
      <c r="BI49" s="46">
        <v>0.0</v>
      </c>
      <c r="BJ49" s="46"/>
      <c r="BK49" s="46"/>
      <c r="BL49" s="46"/>
      <c r="BM49" s="46"/>
      <c r="BN49" s="46"/>
      <c r="BO49" s="46">
        <v>0.0</v>
      </c>
      <c r="BP49" s="46">
        <v>0.0</v>
      </c>
      <c r="BQ49" s="46" t="s">
        <v>28</v>
      </c>
      <c r="BR49" s="46"/>
      <c r="BS49" s="46"/>
      <c r="BT49" s="46">
        <v>0.0</v>
      </c>
      <c r="BU49" s="46">
        <v>0.0</v>
      </c>
      <c r="BV49" s="46">
        <v>0.0</v>
      </c>
      <c r="BW49" s="46">
        <v>0.0</v>
      </c>
      <c r="BX49" s="46">
        <v>0.0</v>
      </c>
      <c r="BY49" s="46"/>
      <c r="BZ49" s="46"/>
      <c r="CA49" s="46">
        <v>0.0</v>
      </c>
      <c r="CB49" s="46">
        <v>0.0</v>
      </c>
      <c r="CC49" s="46">
        <v>0.0</v>
      </c>
      <c r="CD49" s="46">
        <v>0.0</v>
      </c>
      <c r="CE49" s="46">
        <v>0.0</v>
      </c>
      <c r="CF49" s="46">
        <v>0.0</v>
      </c>
      <c r="CG49" s="46"/>
      <c r="CH49" s="46"/>
      <c r="CI49" s="46">
        <v>1.0</v>
      </c>
      <c r="CJ49" s="46">
        <v>0.0</v>
      </c>
      <c r="CK49" s="46">
        <v>0.0</v>
      </c>
      <c r="CL49" s="46">
        <v>0.0</v>
      </c>
      <c r="CM49" s="46">
        <v>0.0</v>
      </c>
      <c r="CN49" s="46">
        <v>0.0</v>
      </c>
      <c r="CO49" s="46"/>
      <c r="CP49" s="46"/>
      <c r="CQ49" s="46"/>
      <c r="CR49" s="46"/>
      <c r="CS49" s="46"/>
      <c r="CT49" s="46">
        <v>0.0</v>
      </c>
      <c r="CU49" s="46">
        <v>0.0</v>
      </c>
      <c r="CV49" s="46"/>
      <c r="CW49" s="46"/>
      <c r="CX49" s="46"/>
      <c r="CY49" s="46">
        <v>0.0</v>
      </c>
      <c r="CZ49" s="46">
        <v>0.0</v>
      </c>
      <c r="DA49" s="46">
        <v>0.0</v>
      </c>
      <c r="DB49" s="46">
        <v>0.0</v>
      </c>
      <c r="DC49" s="46">
        <v>0.0</v>
      </c>
      <c r="DD49" s="46"/>
      <c r="DE49" s="46"/>
      <c r="DF49" s="46">
        <v>0.0</v>
      </c>
      <c r="DG49" s="46">
        <v>0.0</v>
      </c>
      <c r="DH49" s="46">
        <v>0.0</v>
      </c>
      <c r="DI49" s="46">
        <v>0.0</v>
      </c>
      <c r="DJ49" s="46">
        <v>0.0</v>
      </c>
      <c r="DK49" s="46">
        <v>0.0</v>
      </c>
      <c r="DL49" s="46"/>
      <c r="DM49" s="46">
        <v>0.0</v>
      </c>
      <c r="DN49" s="46">
        <v>0.0</v>
      </c>
      <c r="DO49" s="46">
        <v>0.0</v>
      </c>
      <c r="DP49" s="46">
        <v>0.0</v>
      </c>
      <c r="DQ49" s="46">
        <v>0.0</v>
      </c>
      <c r="DR49" s="46">
        <v>0.0</v>
      </c>
      <c r="DS49" s="46">
        <v>0.0</v>
      </c>
      <c r="DT49" s="46">
        <v>0.0</v>
      </c>
      <c r="DU49" s="46">
        <v>0.0</v>
      </c>
      <c r="DV49" s="46">
        <v>0.0</v>
      </c>
      <c r="DW49" s="46">
        <v>0.0</v>
      </c>
      <c r="DX49" s="46">
        <v>0.0</v>
      </c>
      <c r="DY49" s="46">
        <v>0.0</v>
      </c>
      <c r="DZ49" s="46">
        <v>0.0</v>
      </c>
      <c r="EA49" s="46">
        <v>0.0</v>
      </c>
      <c r="EB49" s="46">
        <v>0.0</v>
      </c>
      <c r="EC49" s="46">
        <v>0.0</v>
      </c>
      <c r="ED49" s="46">
        <v>0.0</v>
      </c>
      <c r="EE49" s="46">
        <v>0.0</v>
      </c>
      <c r="EF49" s="46">
        <v>0.0</v>
      </c>
      <c r="EG49" s="46">
        <v>0.0</v>
      </c>
      <c r="EH49" s="46">
        <v>0.0</v>
      </c>
      <c r="EI49" s="46">
        <v>0.0</v>
      </c>
      <c r="EJ49" s="46">
        <v>0.0</v>
      </c>
      <c r="EK49" s="46">
        <v>0.0</v>
      </c>
      <c r="EL49" s="46">
        <v>0.0</v>
      </c>
      <c r="EM49" s="46">
        <v>0.0</v>
      </c>
      <c r="EN49" s="46">
        <v>0.0</v>
      </c>
      <c r="EO49" s="46">
        <v>0.0</v>
      </c>
      <c r="EP49" s="46">
        <v>0.0</v>
      </c>
      <c r="EQ49" s="46">
        <v>0.0</v>
      </c>
      <c r="ER49" s="46">
        <v>0.0</v>
      </c>
      <c r="ES49" s="46">
        <v>0.0</v>
      </c>
      <c r="ET49" s="46">
        <v>0.0</v>
      </c>
      <c r="EU49" s="45">
        <v>21.000000000000004</v>
      </c>
      <c r="EV49" s="45"/>
    </row>
    <row r="50">
      <c r="A50" s="35">
        <v>29.0</v>
      </c>
      <c r="B50" s="36">
        <v>10409.0</v>
      </c>
      <c r="C50" s="35" t="s">
        <v>85</v>
      </c>
      <c r="D50" s="37"/>
      <c r="E50" s="37"/>
      <c r="F50" s="35" t="s">
        <v>75</v>
      </c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>
        <v>1.0</v>
      </c>
      <c r="R50" s="38">
        <v>1.0</v>
      </c>
      <c r="S50" s="38">
        <v>1.0000000000000002</v>
      </c>
      <c r="T50" s="38"/>
      <c r="U50" s="38">
        <v>1.0000000000000002</v>
      </c>
      <c r="V50" s="38">
        <v>1.0000000000000002</v>
      </c>
      <c r="W50" s="38">
        <v>1.0000000000000002</v>
      </c>
      <c r="X50" s="38">
        <v>1.0000000000000002</v>
      </c>
      <c r="Y50" s="38">
        <v>1.0000000000000002</v>
      </c>
      <c r="Z50" s="38"/>
      <c r="AA50" s="38"/>
      <c r="AB50" s="38">
        <v>1.0000000000000002</v>
      </c>
      <c r="AC50" s="38">
        <v>1.0000000000000002</v>
      </c>
      <c r="AD50" s="38">
        <v>1.0000000000000002</v>
      </c>
      <c r="AE50" s="38">
        <v>1.0000000000000002</v>
      </c>
      <c r="AF50" s="38">
        <v>1.0000000000000002</v>
      </c>
      <c r="AG50" s="38">
        <v>1.0000000000000002</v>
      </c>
      <c r="AH50" s="38"/>
      <c r="AI50" s="38">
        <v>1.0000000000000002</v>
      </c>
      <c r="AJ50" s="38">
        <v>1.0000000000000002</v>
      </c>
      <c r="AK50" s="38">
        <v>1.0000000000000002</v>
      </c>
      <c r="AL50" s="39">
        <v>24.0</v>
      </c>
      <c r="AM50" s="39">
        <v>17.0</v>
      </c>
      <c r="AN50" s="39">
        <v>17.0</v>
      </c>
      <c r="AO50" s="39">
        <v>0.0</v>
      </c>
      <c r="AP50" s="39">
        <v>0.0</v>
      </c>
      <c r="AQ50" s="39">
        <v>0.0</v>
      </c>
      <c r="AR50" s="39"/>
      <c r="AS50" s="39">
        <v>2.0</v>
      </c>
      <c r="AT50" s="39">
        <v>0.0</v>
      </c>
      <c r="AU50" s="39">
        <v>1.0</v>
      </c>
      <c r="AV50" s="39">
        <v>0.0</v>
      </c>
      <c r="AW50" s="39">
        <v>0.0</v>
      </c>
      <c r="AX50" s="39">
        <v>0.0</v>
      </c>
      <c r="AY50" s="39">
        <v>0.0</v>
      </c>
      <c r="AZ50" s="39">
        <v>0.0</v>
      </c>
      <c r="BA50" s="39">
        <v>0.0</v>
      </c>
      <c r="BB50" s="39">
        <v>0.0</v>
      </c>
      <c r="BC50" s="39">
        <v>0.0</v>
      </c>
      <c r="BD50" s="39"/>
      <c r="BE50" s="39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>
        <v>0.0</v>
      </c>
      <c r="BQ50" s="40">
        <v>0.0</v>
      </c>
      <c r="BR50" s="40">
        <v>0.0</v>
      </c>
      <c r="BS50" s="40"/>
      <c r="BT50" s="40">
        <v>0.0</v>
      </c>
      <c r="BU50" s="40">
        <v>0.0</v>
      </c>
      <c r="BV50" s="40">
        <v>1.0</v>
      </c>
      <c r="BW50" s="40">
        <v>0.0</v>
      </c>
      <c r="BX50" s="40">
        <v>0.0</v>
      </c>
      <c r="BY50" s="40"/>
      <c r="BZ50" s="40"/>
      <c r="CA50" s="40">
        <v>0.0</v>
      </c>
      <c r="CB50" s="40">
        <v>0.0</v>
      </c>
      <c r="CC50" s="40">
        <v>0.0</v>
      </c>
      <c r="CD50" s="40">
        <v>0.0</v>
      </c>
      <c r="CE50" s="40">
        <v>0.0</v>
      </c>
      <c r="CF50" s="40">
        <v>0.0</v>
      </c>
      <c r="CG50" s="40"/>
      <c r="CH50" s="40"/>
      <c r="CI50" s="40">
        <v>0.0</v>
      </c>
      <c r="CJ50" s="40">
        <v>0.0</v>
      </c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>
        <v>0.0</v>
      </c>
      <c r="CX50" s="40"/>
      <c r="CY50" s="40">
        <v>0.0</v>
      </c>
      <c r="CZ50" s="40">
        <v>0.0</v>
      </c>
      <c r="DA50" s="40">
        <v>0.0</v>
      </c>
      <c r="DB50" s="40">
        <v>0.0</v>
      </c>
      <c r="DC50" s="40">
        <v>0.0</v>
      </c>
      <c r="DD50" s="40"/>
      <c r="DE50" s="40"/>
      <c r="DF50" s="40">
        <v>0.0</v>
      </c>
      <c r="DG50" s="40">
        <v>0.0</v>
      </c>
      <c r="DH50" s="40">
        <v>0.0</v>
      </c>
      <c r="DI50" s="40">
        <v>0.0</v>
      </c>
      <c r="DJ50" s="40">
        <v>0.0</v>
      </c>
      <c r="DK50" s="40">
        <v>0.0</v>
      </c>
      <c r="DL50" s="40"/>
      <c r="DM50" s="40">
        <v>0.0</v>
      </c>
      <c r="DN50" s="40">
        <v>0.0</v>
      </c>
      <c r="DO50" s="40">
        <v>0.0</v>
      </c>
      <c r="DP50" s="40">
        <v>0.0</v>
      </c>
      <c r="DQ50" s="40">
        <v>0.0</v>
      </c>
      <c r="DR50" s="40">
        <v>0.0</v>
      </c>
      <c r="DS50" s="40">
        <v>0.0</v>
      </c>
      <c r="DT50" s="40">
        <v>0.0</v>
      </c>
      <c r="DU50" s="40">
        <v>0.0</v>
      </c>
      <c r="DV50" s="40">
        <v>0.0</v>
      </c>
      <c r="DW50" s="40">
        <v>0.0</v>
      </c>
      <c r="DX50" s="40">
        <v>0.0</v>
      </c>
      <c r="DY50" s="40">
        <v>0.0</v>
      </c>
      <c r="DZ50" s="40">
        <v>0.0</v>
      </c>
      <c r="EA50" s="40">
        <v>0.0</v>
      </c>
      <c r="EB50" s="40">
        <v>0.0</v>
      </c>
      <c r="EC50" s="40">
        <v>0.0</v>
      </c>
      <c r="ED50" s="40">
        <v>0.0</v>
      </c>
      <c r="EE50" s="40">
        <v>0.0</v>
      </c>
      <c r="EF50" s="40">
        <v>0.0</v>
      </c>
      <c r="EG50" s="40">
        <v>0.0</v>
      </c>
      <c r="EH50" s="40">
        <v>0.0</v>
      </c>
      <c r="EI50" s="40">
        <v>0.0</v>
      </c>
      <c r="EJ50" s="40">
        <v>0.0</v>
      </c>
      <c r="EK50" s="40">
        <v>0.0</v>
      </c>
      <c r="EL50" s="40">
        <v>0.0</v>
      </c>
      <c r="EM50" s="40">
        <v>0.0</v>
      </c>
      <c r="EN50" s="40">
        <v>0.0</v>
      </c>
      <c r="EO50" s="40">
        <v>0.0</v>
      </c>
      <c r="EP50" s="40">
        <v>0.0</v>
      </c>
      <c r="EQ50" s="40">
        <v>0.0</v>
      </c>
      <c r="ER50" s="40">
        <v>0.0</v>
      </c>
      <c r="ES50" s="40">
        <v>0.0</v>
      </c>
      <c r="ET50" s="40">
        <v>0.0</v>
      </c>
      <c r="EU50" s="39">
        <v>18.0</v>
      </c>
      <c r="EV50" s="39"/>
    </row>
    <row r="51" hidden="1">
      <c r="A51" s="41"/>
      <c r="B51" s="42"/>
      <c r="C51" s="41"/>
      <c r="D51" s="43"/>
      <c r="E51" s="43"/>
      <c r="F51" s="41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5">
        <v>24.0</v>
      </c>
      <c r="AM51" s="45">
        <v>0.0</v>
      </c>
      <c r="AN51" s="45">
        <v>0.0</v>
      </c>
      <c r="AO51" s="45">
        <v>0.0</v>
      </c>
      <c r="AP51" s="45">
        <v>0.0</v>
      </c>
      <c r="AQ51" s="45">
        <v>0.0</v>
      </c>
      <c r="AR51" s="45"/>
      <c r="AS51" s="45">
        <v>2.0</v>
      </c>
      <c r="AT51" s="45">
        <v>0.0</v>
      </c>
      <c r="AU51" s="45">
        <v>0.0</v>
      </c>
      <c r="AV51" s="45">
        <v>0.0</v>
      </c>
      <c r="AW51" s="45">
        <v>0.0</v>
      </c>
      <c r="AX51" s="45">
        <v>0.0</v>
      </c>
      <c r="AY51" s="45">
        <v>0.0</v>
      </c>
      <c r="AZ51" s="45">
        <v>0.0</v>
      </c>
      <c r="BA51" s="45">
        <v>0.0</v>
      </c>
      <c r="BB51" s="45">
        <v>0.0</v>
      </c>
      <c r="BC51" s="45">
        <v>0.0</v>
      </c>
      <c r="BD51" s="45"/>
      <c r="BE51" s="45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>
        <v>0.0</v>
      </c>
      <c r="DQ51" s="46">
        <v>0.0</v>
      </c>
      <c r="DR51" s="46">
        <v>0.0</v>
      </c>
      <c r="DS51" s="46">
        <v>0.0</v>
      </c>
      <c r="DT51" s="46">
        <v>0.0</v>
      </c>
      <c r="DU51" s="46">
        <v>0.0</v>
      </c>
      <c r="DV51" s="46">
        <v>0.0</v>
      </c>
      <c r="DW51" s="46">
        <v>0.0</v>
      </c>
      <c r="DX51" s="46">
        <v>0.0</v>
      </c>
      <c r="DY51" s="46">
        <v>0.0</v>
      </c>
      <c r="DZ51" s="46">
        <v>0.0</v>
      </c>
      <c r="EA51" s="46">
        <v>0.0</v>
      </c>
      <c r="EB51" s="46">
        <v>0.0</v>
      </c>
      <c r="EC51" s="46">
        <v>0.0</v>
      </c>
      <c r="ED51" s="46">
        <v>0.0</v>
      </c>
      <c r="EE51" s="46">
        <v>0.0</v>
      </c>
      <c r="EF51" s="46">
        <v>0.0</v>
      </c>
      <c r="EG51" s="46">
        <v>0.0</v>
      </c>
      <c r="EH51" s="46">
        <v>0.0</v>
      </c>
      <c r="EI51" s="46">
        <v>0.0</v>
      </c>
      <c r="EJ51" s="46">
        <v>0.0</v>
      </c>
      <c r="EK51" s="46">
        <v>0.0</v>
      </c>
      <c r="EL51" s="46">
        <v>0.0</v>
      </c>
      <c r="EM51" s="46">
        <v>0.0</v>
      </c>
      <c r="EN51" s="46">
        <v>0.0</v>
      </c>
      <c r="EO51" s="46">
        <v>0.0</v>
      </c>
      <c r="EP51" s="46">
        <v>0.0</v>
      </c>
      <c r="EQ51" s="46">
        <v>0.0</v>
      </c>
      <c r="ER51" s="46">
        <v>0.0</v>
      </c>
      <c r="ES51" s="46">
        <v>0.0</v>
      </c>
      <c r="ET51" s="46">
        <v>0.0</v>
      </c>
      <c r="EU51" s="45">
        <v>1.0</v>
      </c>
      <c r="EV51" s="45"/>
    </row>
    <row r="52" hidden="1">
      <c r="A52" s="35"/>
      <c r="B52" s="36"/>
      <c r="C52" s="35"/>
      <c r="D52" s="37"/>
      <c r="E52" s="37"/>
      <c r="F52" s="35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9">
        <v>24.0</v>
      </c>
      <c r="AM52" s="39">
        <v>0.0</v>
      </c>
      <c r="AN52" s="39">
        <v>0.0</v>
      </c>
      <c r="AO52" s="39">
        <v>0.0</v>
      </c>
      <c r="AP52" s="39">
        <v>0.0</v>
      </c>
      <c r="AQ52" s="39">
        <v>0.0</v>
      </c>
      <c r="AR52" s="39"/>
      <c r="AS52" s="39">
        <v>2.0</v>
      </c>
      <c r="AT52" s="39">
        <v>0.0</v>
      </c>
      <c r="AU52" s="39">
        <v>0.0</v>
      </c>
      <c r="AV52" s="39">
        <v>0.0</v>
      </c>
      <c r="AW52" s="39">
        <v>0.0</v>
      </c>
      <c r="AX52" s="39">
        <v>0.0</v>
      </c>
      <c r="AY52" s="39">
        <v>0.0</v>
      </c>
      <c r="AZ52" s="39">
        <v>0.0</v>
      </c>
      <c r="BA52" s="39">
        <v>0.0</v>
      </c>
      <c r="BB52" s="39">
        <v>0.0</v>
      </c>
      <c r="BC52" s="39">
        <v>0.0</v>
      </c>
      <c r="BD52" s="39"/>
      <c r="BE52" s="39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>
        <v>0.0</v>
      </c>
      <c r="DQ52" s="40">
        <v>0.0</v>
      </c>
      <c r="DR52" s="40">
        <v>0.0</v>
      </c>
      <c r="DS52" s="40">
        <v>0.0</v>
      </c>
      <c r="DT52" s="40">
        <v>0.0</v>
      </c>
      <c r="DU52" s="40">
        <v>0.0</v>
      </c>
      <c r="DV52" s="40">
        <v>0.0</v>
      </c>
      <c r="DW52" s="40">
        <v>0.0</v>
      </c>
      <c r="DX52" s="40">
        <v>0.0</v>
      </c>
      <c r="DY52" s="40">
        <v>0.0</v>
      </c>
      <c r="DZ52" s="40">
        <v>0.0</v>
      </c>
      <c r="EA52" s="40">
        <v>0.0</v>
      </c>
      <c r="EB52" s="40">
        <v>0.0</v>
      </c>
      <c r="EC52" s="40">
        <v>0.0</v>
      </c>
      <c r="ED52" s="40">
        <v>0.0</v>
      </c>
      <c r="EE52" s="40">
        <v>0.0</v>
      </c>
      <c r="EF52" s="40">
        <v>0.0</v>
      </c>
      <c r="EG52" s="40">
        <v>0.0</v>
      </c>
      <c r="EH52" s="40">
        <v>0.0</v>
      </c>
      <c r="EI52" s="40">
        <v>0.0</v>
      </c>
      <c r="EJ52" s="40">
        <v>0.0</v>
      </c>
      <c r="EK52" s="40">
        <v>0.0</v>
      </c>
      <c r="EL52" s="40">
        <v>0.0</v>
      </c>
      <c r="EM52" s="40">
        <v>0.0</v>
      </c>
      <c r="EN52" s="40">
        <v>0.0</v>
      </c>
      <c r="EO52" s="40">
        <v>0.0</v>
      </c>
      <c r="EP52" s="40">
        <v>0.0</v>
      </c>
      <c r="EQ52" s="40">
        <v>0.0</v>
      </c>
      <c r="ER52" s="40">
        <v>0.0</v>
      </c>
      <c r="ES52" s="40">
        <v>0.0</v>
      </c>
      <c r="ET52" s="40">
        <v>0.0</v>
      </c>
      <c r="EU52" s="39">
        <v>1.0</v>
      </c>
      <c r="EV52" s="39"/>
    </row>
    <row r="53" hidden="1">
      <c r="A53" s="41"/>
      <c r="B53" s="42"/>
      <c r="C53" s="41"/>
      <c r="D53" s="43"/>
      <c r="E53" s="43"/>
      <c r="F53" s="41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5">
        <v>24.0</v>
      </c>
      <c r="AM53" s="45">
        <v>0.0</v>
      </c>
      <c r="AN53" s="45">
        <v>0.0</v>
      </c>
      <c r="AO53" s="45">
        <v>0.0</v>
      </c>
      <c r="AP53" s="45">
        <v>0.0</v>
      </c>
      <c r="AQ53" s="45">
        <v>0.0</v>
      </c>
      <c r="AR53" s="45"/>
      <c r="AS53" s="45">
        <v>2.0</v>
      </c>
      <c r="AT53" s="45">
        <v>0.0</v>
      </c>
      <c r="AU53" s="45">
        <v>0.0</v>
      </c>
      <c r="AV53" s="45">
        <v>0.0</v>
      </c>
      <c r="AW53" s="45">
        <v>0.0</v>
      </c>
      <c r="AX53" s="45">
        <v>0.0</v>
      </c>
      <c r="AY53" s="45">
        <v>0.0</v>
      </c>
      <c r="AZ53" s="45">
        <v>0.0</v>
      </c>
      <c r="BA53" s="45">
        <v>0.0</v>
      </c>
      <c r="BB53" s="45">
        <v>0.0</v>
      </c>
      <c r="BC53" s="45">
        <v>0.0</v>
      </c>
      <c r="BD53" s="45"/>
      <c r="BE53" s="45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>
        <v>0.0</v>
      </c>
      <c r="DQ53" s="46">
        <v>0.0</v>
      </c>
      <c r="DR53" s="46">
        <v>0.0</v>
      </c>
      <c r="DS53" s="46">
        <v>0.0</v>
      </c>
      <c r="DT53" s="46">
        <v>0.0</v>
      </c>
      <c r="DU53" s="46">
        <v>0.0</v>
      </c>
      <c r="DV53" s="46">
        <v>0.0</v>
      </c>
      <c r="DW53" s="46">
        <v>0.0</v>
      </c>
      <c r="DX53" s="46">
        <v>0.0</v>
      </c>
      <c r="DY53" s="46">
        <v>0.0</v>
      </c>
      <c r="DZ53" s="46">
        <v>0.0</v>
      </c>
      <c r="EA53" s="46">
        <v>0.0</v>
      </c>
      <c r="EB53" s="46">
        <v>0.0</v>
      </c>
      <c r="EC53" s="46">
        <v>0.0</v>
      </c>
      <c r="ED53" s="46">
        <v>0.0</v>
      </c>
      <c r="EE53" s="46">
        <v>0.0</v>
      </c>
      <c r="EF53" s="46">
        <v>0.0</v>
      </c>
      <c r="EG53" s="46">
        <v>0.0</v>
      </c>
      <c r="EH53" s="46">
        <v>0.0</v>
      </c>
      <c r="EI53" s="46">
        <v>0.0</v>
      </c>
      <c r="EJ53" s="46">
        <v>0.0</v>
      </c>
      <c r="EK53" s="46">
        <v>0.0</v>
      </c>
      <c r="EL53" s="46">
        <v>0.0</v>
      </c>
      <c r="EM53" s="46">
        <v>0.0</v>
      </c>
      <c r="EN53" s="46">
        <v>0.0</v>
      </c>
      <c r="EO53" s="46">
        <v>0.0</v>
      </c>
      <c r="EP53" s="46">
        <v>0.0</v>
      </c>
      <c r="EQ53" s="46">
        <v>0.0</v>
      </c>
      <c r="ER53" s="46">
        <v>0.0</v>
      </c>
      <c r="ES53" s="46">
        <v>0.0</v>
      </c>
      <c r="ET53" s="46">
        <v>0.0</v>
      </c>
      <c r="EU53" s="45">
        <v>1.0</v>
      </c>
      <c r="EV53" s="45"/>
    </row>
    <row r="54" hidden="1">
      <c r="A54" s="35"/>
      <c r="B54" s="36"/>
      <c r="C54" s="35"/>
      <c r="D54" s="37"/>
      <c r="E54" s="37"/>
      <c r="F54" s="35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9">
        <v>24.0</v>
      </c>
      <c r="AM54" s="39">
        <v>0.0</v>
      </c>
      <c r="AN54" s="39">
        <v>0.0</v>
      </c>
      <c r="AO54" s="39">
        <v>0.0</v>
      </c>
      <c r="AP54" s="39">
        <v>0.0</v>
      </c>
      <c r="AQ54" s="39">
        <v>0.0</v>
      </c>
      <c r="AR54" s="39"/>
      <c r="AS54" s="39">
        <v>2.0</v>
      </c>
      <c r="AT54" s="39">
        <v>0.0</v>
      </c>
      <c r="AU54" s="39">
        <v>0.0</v>
      </c>
      <c r="AV54" s="39">
        <v>0.0</v>
      </c>
      <c r="AW54" s="39">
        <v>0.0</v>
      </c>
      <c r="AX54" s="39">
        <v>0.0</v>
      </c>
      <c r="AY54" s="39">
        <v>0.0</v>
      </c>
      <c r="AZ54" s="39">
        <v>0.0</v>
      </c>
      <c r="BA54" s="39">
        <v>0.0</v>
      </c>
      <c r="BB54" s="39">
        <v>0.0</v>
      </c>
      <c r="BC54" s="39">
        <v>0.0</v>
      </c>
      <c r="BD54" s="39"/>
      <c r="BE54" s="39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>
        <v>0.0</v>
      </c>
      <c r="DQ54" s="40">
        <v>0.0</v>
      </c>
      <c r="DR54" s="40">
        <v>0.0</v>
      </c>
      <c r="DS54" s="40">
        <v>0.0</v>
      </c>
      <c r="DT54" s="40">
        <v>0.0</v>
      </c>
      <c r="DU54" s="40">
        <v>0.0</v>
      </c>
      <c r="DV54" s="40">
        <v>0.0</v>
      </c>
      <c r="DW54" s="40">
        <v>0.0</v>
      </c>
      <c r="DX54" s="40">
        <v>0.0</v>
      </c>
      <c r="DY54" s="40">
        <v>0.0</v>
      </c>
      <c r="DZ54" s="40">
        <v>0.0</v>
      </c>
      <c r="EA54" s="40">
        <v>0.0</v>
      </c>
      <c r="EB54" s="40">
        <v>0.0</v>
      </c>
      <c r="EC54" s="40">
        <v>0.0</v>
      </c>
      <c r="ED54" s="40">
        <v>0.0</v>
      </c>
      <c r="EE54" s="40">
        <v>0.0</v>
      </c>
      <c r="EF54" s="40">
        <v>0.0</v>
      </c>
      <c r="EG54" s="40">
        <v>0.0</v>
      </c>
      <c r="EH54" s="40">
        <v>0.0</v>
      </c>
      <c r="EI54" s="40">
        <v>0.0</v>
      </c>
      <c r="EJ54" s="40">
        <v>0.0</v>
      </c>
      <c r="EK54" s="40">
        <v>0.0</v>
      </c>
      <c r="EL54" s="40">
        <v>0.0</v>
      </c>
      <c r="EM54" s="40">
        <v>0.0</v>
      </c>
      <c r="EN54" s="40">
        <v>0.0</v>
      </c>
      <c r="EO54" s="40">
        <v>0.0</v>
      </c>
      <c r="EP54" s="40">
        <v>0.0</v>
      </c>
      <c r="EQ54" s="40">
        <v>0.0</v>
      </c>
      <c r="ER54" s="40">
        <v>0.0</v>
      </c>
      <c r="ES54" s="40">
        <v>0.0</v>
      </c>
      <c r="ET54" s="40">
        <v>0.0</v>
      </c>
      <c r="EU54" s="39">
        <v>1.0</v>
      </c>
      <c r="EV54" s="39"/>
    </row>
    <row r="55" hidden="1">
      <c r="A55" s="41"/>
      <c r="B55" s="42"/>
      <c r="C55" s="41"/>
      <c r="D55" s="43"/>
      <c r="E55" s="43"/>
      <c r="F55" s="41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5">
        <v>24.0</v>
      </c>
      <c r="AM55" s="45">
        <v>0.0</v>
      </c>
      <c r="AN55" s="45">
        <v>0.0</v>
      </c>
      <c r="AO55" s="45">
        <v>0.0</v>
      </c>
      <c r="AP55" s="45">
        <v>0.0</v>
      </c>
      <c r="AQ55" s="45">
        <v>0.0</v>
      </c>
      <c r="AR55" s="45"/>
      <c r="AS55" s="45">
        <v>2.0</v>
      </c>
      <c r="AT55" s="45">
        <v>0.0</v>
      </c>
      <c r="AU55" s="45">
        <v>0.0</v>
      </c>
      <c r="AV55" s="45">
        <v>0.0</v>
      </c>
      <c r="AW55" s="45">
        <v>0.0</v>
      </c>
      <c r="AX55" s="45">
        <v>0.0</v>
      </c>
      <c r="AY55" s="45">
        <v>0.0</v>
      </c>
      <c r="AZ55" s="45">
        <v>0.0</v>
      </c>
      <c r="BA55" s="45">
        <v>0.0</v>
      </c>
      <c r="BB55" s="45">
        <v>0.0</v>
      </c>
      <c r="BC55" s="45">
        <v>0.0</v>
      </c>
      <c r="BD55" s="45"/>
      <c r="BE55" s="45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>
        <v>0.0</v>
      </c>
      <c r="DQ55" s="46">
        <v>0.0</v>
      </c>
      <c r="DR55" s="46">
        <v>0.0</v>
      </c>
      <c r="DS55" s="46">
        <v>0.0</v>
      </c>
      <c r="DT55" s="46">
        <v>0.0</v>
      </c>
      <c r="DU55" s="46">
        <v>0.0</v>
      </c>
      <c r="DV55" s="46">
        <v>0.0</v>
      </c>
      <c r="DW55" s="46">
        <v>0.0</v>
      </c>
      <c r="DX55" s="46">
        <v>0.0</v>
      </c>
      <c r="DY55" s="46">
        <v>0.0</v>
      </c>
      <c r="DZ55" s="46">
        <v>0.0</v>
      </c>
      <c r="EA55" s="46">
        <v>0.0</v>
      </c>
      <c r="EB55" s="46">
        <v>0.0</v>
      </c>
      <c r="EC55" s="46">
        <v>0.0</v>
      </c>
      <c r="ED55" s="46">
        <v>0.0</v>
      </c>
      <c r="EE55" s="46">
        <v>0.0</v>
      </c>
      <c r="EF55" s="46">
        <v>0.0</v>
      </c>
      <c r="EG55" s="46">
        <v>0.0</v>
      </c>
      <c r="EH55" s="46">
        <v>0.0</v>
      </c>
      <c r="EI55" s="46">
        <v>0.0</v>
      </c>
      <c r="EJ55" s="46">
        <v>0.0</v>
      </c>
      <c r="EK55" s="46">
        <v>0.0</v>
      </c>
      <c r="EL55" s="46">
        <v>0.0</v>
      </c>
      <c r="EM55" s="46">
        <v>0.0</v>
      </c>
      <c r="EN55" s="46">
        <v>0.0</v>
      </c>
      <c r="EO55" s="46">
        <v>0.0</v>
      </c>
      <c r="EP55" s="46">
        <v>0.0</v>
      </c>
      <c r="EQ55" s="46">
        <v>0.0</v>
      </c>
      <c r="ER55" s="46">
        <v>0.0</v>
      </c>
      <c r="ES55" s="46">
        <v>0.0</v>
      </c>
      <c r="ET55" s="46">
        <v>0.0</v>
      </c>
      <c r="EU55" s="45">
        <v>1.0</v>
      </c>
      <c r="EV55" s="45"/>
    </row>
    <row r="56">
      <c r="A56" s="35">
        <v>30.0</v>
      </c>
      <c r="B56" s="36">
        <v>10009.0</v>
      </c>
      <c r="C56" s="35" t="s">
        <v>86</v>
      </c>
      <c r="D56" s="37"/>
      <c r="E56" s="37"/>
      <c r="F56" s="35" t="s">
        <v>87</v>
      </c>
      <c r="G56" s="38">
        <v>1.0000000000000002</v>
      </c>
      <c r="H56" s="38">
        <v>1.0000000000000002</v>
      </c>
      <c r="I56" s="38">
        <v>1.0000000000000002</v>
      </c>
      <c r="J56" s="38">
        <v>1.0000000000000002</v>
      </c>
      <c r="K56" s="38" t="s">
        <v>43</v>
      </c>
      <c r="L56" s="38"/>
      <c r="M56" s="38" t="s">
        <v>43</v>
      </c>
      <c r="N56" s="38"/>
      <c r="O56" s="38"/>
      <c r="P56" s="38">
        <v>1.0000000000000002</v>
      </c>
      <c r="Q56" s="38">
        <v>1.0000000000000002</v>
      </c>
      <c r="R56" s="38">
        <v>1.0000000000000002</v>
      </c>
      <c r="S56" s="38">
        <v>1.0000000000000002</v>
      </c>
      <c r="T56" s="38"/>
      <c r="U56" s="38">
        <v>1.0000000000000002</v>
      </c>
      <c r="V56" s="38">
        <v>1.0000000000000002</v>
      </c>
      <c r="W56" s="38">
        <v>1.0000000000000002</v>
      </c>
      <c r="X56" s="38">
        <v>1.0000000000000002</v>
      </c>
      <c r="Y56" s="38">
        <v>1.0000000000000002</v>
      </c>
      <c r="Z56" s="38"/>
      <c r="AA56" s="38"/>
      <c r="AB56" s="38">
        <v>1.0000000000000002</v>
      </c>
      <c r="AC56" s="38">
        <v>1.0000000000000002</v>
      </c>
      <c r="AD56" s="38">
        <v>1.0000000000000002</v>
      </c>
      <c r="AE56" s="38">
        <v>1.0000000000000002</v>
      </c>
      <c r="AF56" s="38">
        <v>1.0000000000000002</v>
      </c>
      <c r="AG56" s="38">
        <v>1.0000000000000002</v>
      </c>
      <c r="AH56" s="38"/>
      <c r="AI56" s="38">
        <v>1.0000000000000002</v>
      </c>
      <c r="AJ56" s="38">
        <v>1.0000000000000002</v>
      </c>
      <c r="AK56" s="38">
        <v>0.9770833333333333</v>
      </c>
      <c r="AL56" s="39">
        <v>24.0</v>
      </c>
      <c r="AM56" s="39">
        <v>21.977083333333336</v>
      </c>
      <c r="AN56" s="39">
        <v>21.977083333333336</v>
      </c>
      <c r="AO56" s="39">
        <v>0.0</v>
      </c>
      <c r="AP56" s="39">
        <v>0.0</v>
      </c>
      <c r="AQ56" s="39">
        <v>0.0</v>
      </c>
      <c r="AR56" s="39"/>
      <c r="AS56" s="39">
        <v>2.0</v>
      </c>
      <c r="AT56" s="39">
        <v>0.0</v>
      </c>
      <c r="AU56" s="39">
        <v>2.0</v>
      </c>
      <c r="AV56" s="39">
        <v>0.0</v>
      </c>
      <c r="AW56" s="39">
        <v>0.0</v>
      </c>
      <c r="AX56" s="39">
        <v>0.0</v>
      </c>
      <c r="AY56" s="39">
        <v>0.0</v>
      </c>
      <c r="AZ56" s="39">
        <v>0.0</v>
      </c>
      <c r="BA56" s="39">
        <v>0.0</v>
      </c>
      <c r="BB56" s="39">
        <v>0.0</v>
      </c>
      <c r="BC56" s="39">
        <v>0.0</v>
      </c>
      <c r="BD56" s="39"/>
      <c r="BE56" s="39"/>
      <c r="BF56" s="40">
        <v>0.0</v>
      </c>
      <c r="BG56" s="40">
        <v>0.0</v>
      </c>
      <c r="BH56" s="40">
        <v>0.0</v>
      </c>
      <c r="BI56" s="40">
        <v>0.0</v>
      </c>
      <c r="BJ56" s="40"/>
      <c r="BK56" s="40"/>
      <c r="BL56" s="40"/>
      <c r="BM56" s="40"/>
      <c r="BN56" s="40"/>
      <c r="BO56" s="40">
        <v>0.0</v>
      </c>
      <c r="BP56" s="40">
        <v>0.0</v>
      </c>
      <c r="BQ56" s="40">
        <v>0.0</v>
      </c>
      <c r="BR56" s="40">
        <v>0.0</v>
      </c>
      <c r="BS56" s="40"/>
      <c r="BT56" s="40">
        <v>0.0</v>
      </c>
      <c r="BU56" s="40"/>
      <c r="BV56" s="40">
        <v>0.0</v>
      </c>
      <c r="BW56" s="40">
        <v>1.0</v>
      </c>
      <c r="BX56" s="40">
        <v>0.0</v>
      </c>
      <c r="BY56" s="40"/>
      <c r="BZ56" s="40"/>
      <c r="CA56" s="40"/>
      <c r="CB56" s="40">
        <v>0.0</v>
      </c>
      <c r="CC56" s="40">
        <v>0.0</v>
      </c>
      <c r="CD56" s="40">
        <v>0.0</v>
      </c>
      <c r="CE56" s="40"/>
      <c r="CF56" s="40"/>
      <c r="CG56" s="40"/>
      <c r="CH56" s="40">
        <v>1.0</v>
      </c>
      <c r="CI56" s="40">
        <v>0.0</v>
      </c>
      <c r="CJ56" s="40">
        <v>0.0</v>
      </c>
      <c r="CK56" s="40">
        <v>0.0</v>
      </c>
      <c r="CL56" s="40">
        <v>0.0</v>
      </c>
      <c r="CM56" s="40">
        <v>0.0</v>
      </c>
      <c r="CN56" s="40">
        <v>0.0</v>
      </c>
      <c r="CO56" s="40"/>
      <c r="CP56" s="40"/>
      <c r="CQ56" s="40"/>
      <c r="CR56" s="40"/>
      <c r="CS56" s="40"/>
      <c r="CT56" s="40">
        <v>0.0</v>
      </c>
      <c r="CU56" s="40">
        <v>0.0</v>
      </c>
      <c r="CV56" s="40">
        <v>0.0</v>
      </c>
      <c r="CW56" s="40">
        <v>0.0</v>
      </c>
      <c r="CX56" s="40"/>
      <c r="CY56" s="40">
        <v>0.0</v>
      </c>
      <c r="CZ56" s="40">
        <v>0.0</v>
      </c>
      <c r="DA56" s="40">
        <v>0.0</v>
      </c>
      <c r="DB56" s="40">
        <v>0.0</v>
      </c>
      <c r="DC56" s="40">
        <v>0.0</v>
      </c>
      <c r="DD56" s="40"/>
      <c r="DE56" s="40"/>
      <c r="DF56" s="40">
        <v>0.0</v>
      </c>
      <c r="DG56" s="40">
        <v>0.0</v>
      </c>
      <c r="DH56" s="40">
        <v>0.0</v>
      </c>
      <c r="DI56" s="40">
        <v>0.0</v>
      </c>
      <c r="DJ56" s="40">
        <v>0.0</v>
      </c>
      <c r="DK56" s="40">
        <v>0.0</v>
      </c>
      <c r="DL56" s="40"/>
      <c r="DM56" s="40">
        <v>0.0</v>
      </c>
      <c r="DN56" s="40">
        <v>0.0</v>
      </c>
      <c r="DO56" s="40">
        <v>0.0</v>
      </c>
      <c r="DP56" s="40">
        <v>0.0</v>
      </c>
      <c r="DQ56" s="40">
        <v>0.0</v>
      </c>
      <c r="DR56" s="40">
        <v>0.0</v>
      </c>
      <c r="DS56" s="40">
        <v>0.0</v>
      </c>
      <c r="DT56" s="40">
        <v>0.0</v>
      </c>
      <c r="DU56" s="40">
        <v>0.0</v>
      </c>
      <c r="DV56" s="40">
        <v>0.0</v>
      </c>
      <c r="DW56" s="40">
        <v>0.0</v>
      </c>
      <c r="DX56" s="40">
        <v>0.0</v>
      </c>
      <c r="DY56" s="40">
        <v>0.0</v>
      </c>
      <c r="DZ56" s="40">
        <v>0.0</v>
      </c>
      <c r="EA56" s="40">
        <v>0.0</v>
      </c>
      <c r="EB56" s="40">
        <v>0.0</v>
      </c>
      <c r="EC56" s="40">
        <v>0.0</v>
      </c>
      <c r="ED56" s="40">
        <v>0.0</v>
      </c>
      <c r="EE56" s="40">
        <v>0.0</v>
      </c>
      <c r="EF56" s="40">
        <v>0.0</v>
      </c>
      <c r="EG56" s="40">
        <v>0.0</v>
      </c>
      <c r="EH56" s="40">
        <v>0.0</v>
      </c>
      <c r="EI56" s="40">
        <v>0.0</v>
      </c>
      <c r="EJ56" s="40">
        <v>0.0</v>
      </c>
      <c r="EK56" s="40">
        <v>0.0</v>
      </c>
      <c r="EL56" s="40">
        <v>0.0</v>
      </c>
      <c r="EM56" s="40">
        <v>0.0</v>
      </c>
      <c r="EN56" s="40">
        <v>0.0</v>
      </c>
      <c r="EO56" s="40">
        <v>0.0</v>
      </c>
      <c r="EP56" s="40">
        <v>0.0</v>
      </c>
      <c r="EQ56" s="40">
        <v>0.0</v>
      </c>
      <c r="ER56" s="40">
        <v>0.0</v>
      </c>
      <c r="ES56" s="40">
        <v>0.0</v>
      </c>
      <c r="ET56" s="40">
        <v>0.0</v>
      </c>
      <c r="EU56" s="39">
        <v>22.000000000000004</v>
      </c>
      <c r="EV56" s="39"/>
    </row>
    <row r="57">
      <c r="A57" s="41">
        <v>31.0</v>
      </c>
      <c r="B57" s="42">
        <v>10328.0</v>
      </c>
      <c r="C57" s="41" t="s">
        <v>88</v>
      </c>
      <c r="D57" s="43"/>
      <c r="E57" s="43"/>
      <c r="F57" s="41" t="s">
        <v>87</v>
      </c>
      <c r="G57" s="44"/>
      <c r="H57" s="44"/>
      <c r="I57" s="44">
        <v>1.0000000000000002</v>
      </c>
      <c r="J57" s="44"/>
      <c r="K57" s="44"/>
      <c r="L57" s="44"/>
      <c r="M57" s="44"/>
      <c r="N57" s="44"/>
      <c r="O57" s="44"/>
      <c r="P57" s="44"/>
      <c r="Q57" s="44">
        <v>1.0000000000000002</v>
      </c>
      <c r="R57" s="44"/>
      <c r="S57" s="44"/>
      <c r="T57" s="44"/>
      <c r="U57" s="44"/>
      <c r="V57" s="44"/>
      <c r="W57" s="44"/>
      <c r="X57" s="44"/>
      <c r="Y57" s="44">
        <v>1.0000000000000002</v>
      </c>
      <c r="Z57" s="44"/>
      <c r="AA57" s="44"/>
      <c r="AB57" s="44"/>
      <c r="AC57" s="44"/>
      <c r="AD57" s="44">
        <v>1.0000000000000002</v>
      </c>
      <c r="AE57" s="44"/>
      <c r="AF57" s="44"/>
      <c r="AG57" s="44"/>
      <c r="AH57" s="44"/>
      <c r="AI57" s="44"/>
      <c r="AJ57" s="44"/>
      <c r="AK57" s="44"/>
      <c r="AL57" s="50">
        <v>4.0</v>
      </c>
      <c r="AM57" s="45">
        <v>4.000000000000001</v>
      </c>
      <c r="AN57" s="45">
        <v>4.000000000000001</v>
      </c>
      <c r="AO57" s="45">
        <v>0.0</v>
      </c>
      <c r="AP57" s="45">
        <v>0.0</v>
      </c>
      <c r="AQ57" s="45">
        <v>0.0</v>
      </c>
      <c r="AR57" s="45"/>
      <c r="AS57" s="45">
        <v>2.0</v>
      </c>
      <c r="AT57" s="45">
        <v>0.0</v>
      </c>
      <c r="AU57" s="45">
        <v>0.0</v>
      </c>
      <c r="AV57" s="45">
        <v>0.0</v>
      </c>
      <c r="AW57" s="45">
        <v>0.0</v>
      </c>
      <c r="AX57" s="45">
        <v>0.0</v>
      </c>
      <c r="AY57" s="45">
        <v>0.0</v>
      </c>
      <c r="AZ57" s="45">
        <v>0.0</v>
      </c>
      <c r="BA57" s="45">
        <v>0.0</v>
      </c>
      <c r="BB57" s="45">
        <v>0.0</v>
      </c>
      <c r="BC57" s="45">
        <v>0.0</v>
      </c>
      <c r="BD57" s="45"/>
      <c r="BE57" s="45"/>
      <c r="BF57" s="46"/>
      <c r="BG57" s="46"/>
      <c r="BH57" s="46">
        <v>0.0</v>
      </c>
      <c r="BI57" s="46"/>
      <c r="BJ57" s="46"/>
      <c r="BK57" s="46"/>
      <c r="BL57" s="46"/>
      <c r="BM57" s="46"/>
      <c r="BN57" s="46"/>
      <c r="BO57" s="46"/>
      <c r="BP57" s="46">
        <v>0.0</v>
      </c>
      <c r="BQ57" s="46"/>
      <c r="BR57" s="46"/>
      <c r="BS57" s="46"/>
      <c r="BT57" s="46"/>
      <c r="BU57" s="46"/>
      <c r="BV57" s="46"/>
      <c r="BW57" s="46"/>
      <c r="BX57" s="46">
        <v>0.0</v>
      </c>
      <c r="BY57" s="46"/>
      <c r="BZ57" s="46"/>
      <c r="CA57" s="46"/>
      <c r="CB57" s="46"/>
      <c r="CC57" s="46">
        <v>0.0</v>
      </c>
      <c r="CD57" s="46"/>
      <c r="CE57" s="46"/>
      <c r="CF57" s="46"/>
      <c r="CG57" s="46"/>
      <c r="CH57" s="46"/>
      <c r="CI57" s="46"/>
      <c r="CJ57" s="46"/>
      <c r="CK57" s="46"/>
      <c r="CL57" s="46"/>
      <c r="CM57" s="46">
        <v>0.0</v>
      </c>
      <c r="CN57" s="46"/>
      <c r="CO57" s="46"/>
      <c r="CP57" s="46"/>
      <c r="CQ57" s="46"/>
      <c r="CR57" s="46"/>
      <c r="CS57" s="46"/>
      <c r="CT57" s="46"/>
      <c r="CU57" s="46">
        <v>0.0</v>
      </c>
      <c r="CV57" s="46"/>
      <c r="CW57" s="46"/>
      <c r="CX57" s="46"/>
      <c r="CY57" s="46"/>
      <c r="CZ57" s="46"/>
      <c r="DA57" s="46"/>
      <c r="DB57" s="46"/>
      <c r="DC57" s="46">
        <v>0.0</v>
      </c>
      <c r="DD57" s="46"/>
      <c r="DE57" s="46"/>
      <c r="DF57" s="46"/>
      <c r="DG57" s="46"/>
      <c r="DH57" s="46">
        <v>0.0</v>
      </c>
      <c r="DI57" s="46"/>
      <c r="DJ57" s="46"/>
      <c r="DK57" s="46"/>
      <c r="DL57" s="46"/>
      <c r="DM57" s="46"/>
      <c r="DN57" s="46"/>
      <c r="DO57" s="46"/>
      <c r="DP57" s="46">
        <v>0.0</v>
      </c>
      <c r="DQ57" s="46">
        <v>0.0</v>
      </c>
      <c r="DR57" s="46">
        <v>0.0</v>
      </c>
      <c r="DS57" s="46">
        <v>0.0</v>
      </c>
      <c r="DT57" s="46">
        <v>0.0</v>
      </c>
      <c r="DU57" s="46">
        <v>0.0</v>
      </c>
      <c r="DV57" s="46">
        <v>0.0</v>
      </c>
      <c r="DW57" s="46">
        <v>0.0</v>
      </c>
      <c r="DX57" s="46">
        <v>0.0</v>
      </c>
      <c r="DY57" s="46">
        <v>0.0</v>
      </c>
      <c r="DZ57" s="46">
        <v>0.0</v>
      </c>
      <c r="EA57" s="46">
        <v>0.0</v>
      </c>
      <c r="EB57" s="46">
        <v>0.0</v>
      </c>
      <c r="EC57" s="46">
        <v>0.0</v>
      </c>
      <c r="ED57" s="46">
        <v>0.0</v>
      </c>
      <c r="EE57" s="46">
        <v>0.0</v>
      </c>
      <c r="EF57" s="46">
        <v>0.0</v>
      </c>
      <c r="EG57" s="46">
        <v>0.0</v>
      </c>
      <c r="EH57" s="46">
        <v>0.0</v>
      </c>
      <c r="EI57" s="46">
        <v>0.0</v>
      </c>
      <c r="EJ57" s="46">
        <v>0.0</v>
      </c>
      <c r="EK57" s="46">
        <v>0.0</v>
      </c>
      <c r="EL57" s="46">
        <v>0.0</v>
      </c>
      <c r="EM57" s="46">
        <v>0.0</v>
      </c>
      <c r="EN57" s="46">
        <v>0.0</v>
      </c>
      <c r="EO57" s="46">
        <v>0.0</v>
      </c>
      <c r="EP57" s="46">
        <v>0.0</v>
      </c>
      <c r="EQ57" s="46">
        <v>0.0</v>
      </c>
      <c r="ER57" s="46">
        <v>0.0</v>
      </c>
      <c r="ES57" s="46">
        <v>0.0</v>
      </c>
      <c r="ET57" s="46">
        <v>0.0</v>
      </c>
      <c r="EU57" s="45">
        <v>5.000000000000001</v>
      </c>
      <c r="EV57" s="45"/>
    </row>
    <row r="58">
      <c r="A58" s="35">
        <v>32.0</v>
      </c>
      <c r="B58" s="36">
        <v>10025.0</v>
      </c>
      <c r="C58" s="35" t="s">
        <v>89</v>
      </c>
      <c r="D58" s="47"/>
      <c r="E58" s="47">
        <v>0.6666666666666666</v>
      </c>
      <c r="F58" s="35" t="s">
        <v>87</v>
      </c>
      <c r="G58" s="38">
        <v>1.0000000000000002</v>
      </c>
      <c r="H58" s="38">
        <v>1.0000000000000002</v>
      </c>
      <c r="I58" s="38">
        <v>1.0000000000000002</v>
      </c>
      <c r="J58" s="38">
        <v>1.0000000000000002</v>
      </c>
      <c r="K58" s="38" t="s">
        <v>43</v>
      </c>
      <c r="L58" s="38"/>
      <c r="M58" s="38" t="s">
        <v>43</v>
      </c>
      <c r="N58" s="38"/>
      <c r="O58" s="38"/>
      <c r="P58" s="38">
        <v>1.0000000000000002</v>
      </c>
      <c r="Q58" s="38">
        <v>1.0000000000000002</v>
      </c>
      <c r="R58" s="38">
        <v>1.0000000000000002</v>
      </c>
      <c r="S58" s="38">
        <v>1.0000000000000002</v>
      </c>
      <c r="T58" s="38"/>
      <c r="U58" s="38">
        <v>1.0000000000000002</v>
      </c>
      <c r="V58" s="38">
        <v>1.0000000000000002</v>
      </c>
      <c r="W58" s="38">
        <v>1.0000000000000002</v>
      </c>
      <c r="X58" s="38">
        <v>1.0000000000000002</v>
      </c>
      <c r="Y58" s="38">
        <v>1.0000000000000002</v>
      </c>
      <c r="Z58" s="38"/>
      <c r="AA58" s="38"/>
      <c r="AB58" s="38">
        <v>1.0000000000000002</v>
      </c>
      <c r="AC58" s="38">
        <v>1.0000000000000002</v>
      </c>
      <c r="AD58" s="38">
        <v>1.0000000000000002</v>
      </c>
      <c r="AE58" s="38">
        <v>1.0</v>
      </c>
      <c r="AF58" s="38">
        <v>1.0000000000000002</v>
      </c>
      <c r="AG58" s="38">
        <v>1.0000000000000002</v>
      </c>
      <c r="AH58" s="38"/>
      <c r="AI58" s="38">
        <v>1.0000000000000002</v>
      </c>
      <c r="AJ58" s="38">
        <v>0.8479166666666669</v>
      </c>
      <c r="AK58" s="38">
        <v>1.0000000000000002</v>
      </c>
      <c r="AL58" s="39">
        <v>24.0</v>
      </c>
      <c r="AM58" s="39">
        <v>20.84791666666667</v>
      </c>
      <c r="AN58" s="39">
        <v>21.84791666666667</v>
      </c>
      <c r="AO58" s="39">
        <v>0.0</v>
      </c>
      <c r="AP58" s="39">
        <v>0.0</v>
      </c>
      <c r="AQ58" s="39">
        <v>0.0</v>
      </c>
      <c r="AR58" s="39"/>
      <c r="AS58" s="39">
        <v>2.0</v>
      </c>
      <c r="AT58" s="39">
        <v>0.0</v>
      </c>
      <c r="AU58" s="39">
        <v>3.0</v>
      </c>
      <c r="AV58" s="39">
        <v>1.0</v>
      </c>
      <c r="AW58" s="39">
        <v>0.0</v>
      </c>
      <c r="AX58" s="39">
        <v>0.0</v>
      </c>
      <c r="AY58" s="39">
        <v>0.0</v>
      </c>
      <c r="AZ58" s="39">
        <v>0.0</v>
      </c>
      <c r="BA58" s="39">
        <v>0.0</v>
      </c>
      <c r="BB58" s="39">
        <v>0.0</v>
      </c>
      <c r="BC58" s="39">
        <v>0.0</v>
      </c>
      <c r="BD58" s="39"/>
      <c r="BE58" s="39"/>
      <c r="BF58" s="40"/>
      <c r="BG58" s="40">
        <v>0.0</v>
      </c>
      <c r="BH58" s="40">
        <v>0.0</v>
      </c>
      <c r="BI58" s="40">
        <v>0.0</v>
      </c>
      <c r="BJ58" s="40"/>
      <c r="BK58" s="40"/>
      <c r="BL58" s="40"/>
      <c r="BM58" s="40"/>
      <c r="BN58" s="40"/>
      <c r="BO58" s="40">
        <v>0.0</v>
      </c>
      <c r="BP58" s="40">
        <v>0.0</v>
      </c>
      <c r="BQ58" s="40">
        <v>0.0</v>
      </c>
      <c r="BR58" s="40">
        <v>0.0</v>
      </c>
      <c r="BS58" s="40"/>
      <c r="BT58" s="40">
        <v>0.0</v>
      </c>
      <c r="BU58" s="40">
        <v>0.0</v>
      </c>
      <c r="BV58" s="40">
        <v>0.0</v>
      </c>
      <c r="BW58" s="40">
        <v>0.0</v>
      </c>
      <c r="BX58" s="40">
        <v>1.0</v>
      </c>
      <c r="BY58" s="40"/>
      <c r="BZ58" s="40"/>
      <c r="CA58" s="40">
        <v>0.0</v>
      </c>
      <c r="CB58" s="40">
        <v>1.0</v>
      </c>
      <c r="CC58" s="40">
        <v>0.0</v>
      </c>
      <c r="CD58" s="40"/>
      <c r="CE58" s="40">
        <v>0.0</v>
      </c>
      <c r="CF58" s="40">
        <v>0.0</v>
      </c>
      <c r="CG58" s="40"/>
      <c r="CH58" s="40">
        <v>0.0</v>
      </c>
      <c r="CI58" s="40">
        <v>1.0</v>
      </c>
      <c r="CJ58" s="40">
        <v>0.0</v>
      </c>
      <c r="CK58" s="40">
        <v>0.0</v>
      </c>
      <c r="CL58" s="40">
        <v>0.0</v>
      </c>
      <c r="CM58" s="40">
        <v>0.0</v>
      </c>
      <c r="CN58" s="40">
        <v>0.0</v>
      </c>
      <c r="CO58" s="40"/>
      <c r="CP58" s="40"/>
      <c r="CQ58" s="40"/>
      <c r="CR58" s="40"/>
      <c r="CS58" s="40"/>
      <c r="CT58" s="40">
        <v>0.0</v>
      </c>
      <c r="CU58" s="40">
        <v>0.0</v>
      </c>
      <c r="CV58" s="40">
        <v>0.0</v>
      </c>
      <c r="CW58" s="40">
        <v>0.0</v>
      </c>
      <c r="CX58" s="40"/>
      <c r="CY58" s="40">
        <v>0.0</v>
      </c>
      <c r="CZ58" s="40">
        <v>0.0</v>
      </c>
      <c r="DA58" s="40">
        <v>0.0</v>
      </c>
      <c r="DB58" s="40">
        <v>0.0</v>
      </c>
      <c r="DC58" s="40">
        <v>0.0</v>
      </c>
      <c r="DD58" s="40"/>
      <c r="DE58" s="40"/>
      <c r="DF58" s="40">
        <v>0.0</v>
      </c>
      <c r="DG58" s="40">
        <v>0.0</v>
      </c>
      <c r="DH58" s="40">
        <v>0.0</v>
      </c>
      <c r="DI58" s="40">
        <v>0.0</v>
      </c>
      <c r="DJ58" s="40">
        <v>0.0</v>
      </c>
      <c r="DK58" s="40">
        <v>0.0</v>
      </c>
      <c r="DL58" s="40"/>
      <c r="DM58" s="40">
        <v>0.0</v>
      </c>
      <c r="DN58" s="40">
        <v>0.0</v>
      </c>
      <c r="DO58" s="40">
        <v>0.0</v>
      </c>
      <c r="DP58" s="40">
        <v>0.0</v>
      </c>
      <c r="DQ58" s="40">
        <v>0.0</v>
      </c>
      <c r="DR58" s="40">
        <v>0.0</v>
      </c>
      <c r="DS58" s="40">
        <v>0.0</v>
      </c>
      <c r="DT58" s="40">
        <v>0.0</v>
      </c>
      <c r="DU58" s="40">
        <v>0.0</v>
      </c>
      <c r="DV58" s="40">
        <v>0.0</v>
      </c>
      <c r="DW58" s="40">
        <v>0.0</v>
      </c>
      <c r="DX58" s="40">
        <v>0.0</v>
      </c>
      <c r="DY58" s="40">
        <v>0.0</v>
      </c>
      <c r="DZ58" s="40">
        <v>0.0</v>
      </c>
      <c r="EA58" s="40">
        <v>0.0</v>
      </c>
      <c r="EB58" s="40">
        <v>0.0</v>
      </c>
      <c r="EC58" s="40">
        <v>0.0</v>
      </c>
      <c r="ED58" s="40">
        <v>0.0</v>
      </c>
      <c r="EE58" s="40">
        <v>0.0</v>
      </c>
      <c r="EF58" s="40">
        <v>0.0</v>
      </c>
      <c r="EG58" s="40">
        <v>0.0</v>
      </c>
      <c r="EH58" s="40">
        <v>0.0</v>
      </c>
      <c r="EI58" s="40">
        <v>0.0</v>
      </c>
      <c r="EJ58" s="40">
        <v>0.0</v>
      </c>
      <c r="EK58" s="40">
        <v>0.0</v>
      </c>
      <c r="EL58" s="40">
        <v>0.0</v>
      </c>
      <c r="EM58" s="40">
        <v>0.0</v>
      </c>
      <c r="EN58" s="40">
        <v>0.0</v>
      </c>
      <c r="EO58" s="40">
        <v>0.0</v>
      </c>
      <c r="EP58" s="40">
        <v>0.0</v>
      </c>
      <c r="EQ58" s="40">
        <v>0.0</v>
      </c>
      <c r="ER58" s="40">
        <v>0.0</v>
      </c>
      <c r="ES58" s="40">
        <v>0.0</v>
      </c>
      <c r="ET58" s="40">
        <v>0.0</v>
      </c>
      <c r="EU58" s="39">
        <v>22.000000000000004</v>
      </c>
      <c r="EV58" s="39"/>
    </row>
    <row r="59" hidden="1">
      <c r="A59" s="41"/>
      <c r="B59" s="42"/>
      <c r="C59" s="41"/>
      <c r="D59" s="43"/>
      <c r="E59" s="43"/>
      <c r="F59" s="41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5">
        <v>24.0</v>
      </c>
      <c r="AM59" s="45">
        <v>0.0</v>
      </c>
      <c r="AN59" s="45">
        <v>0.0</v>
      </c>
      <c r="AO59" s="45">
        <v>0.0</v>
      </c>
      <c r="AP59" s="45">
        <v>0.0</v>
      </c>
      <c r="AQ59" s="45">
        <v>0.0</v>
      </c>
      <c r="AR59" s="45"/>
      <c r="AS59" s="45">
        <v>2.0</v>
      </c>
      <c r="AT59" s="45">
        <v>0.0</v>
      </c>
      <c r="AU59" s="45">
        <v>0.0</v>
      </c>
      <c r="AV59" s="45">
        <v>0.0</v>
      </c>
      <c r="AW59" s="45">
        <v>0.0</v>
      </c>
      <c r="AX59" s="45">
        <v>0.0</v>
      </c>
      <c r="AY59" s="45">
        <v>0.0</v>
      </c>
      <c r="AZ59" s="45">
        <v>0.0</v>
      </c>
      <c r="BA59" s="45">
        <v>0.0</v>
      </c>
      <c r="BB59" s="45">
        <v>0.0</v>
      </c>
      <c r="BC59" s="45">
        <v>0.0</v>
      </c>
      <c r="BD59" s="45"/>
      <c r="BE59" s="45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>
        <v>0.0</v>
      </c>
      <c r="DQ59" s="46">
        <v>0.0</v>
      </c>
      <c r="DR59" s="46">
        <v>0.0</v>
      </c>
      <c r="DS59" s="46">
        <v>0.0</v>
      </c>
      <c r="DT59" s="46">
        <v>0.0</v>
      </c>
      <c r="DU59" s="46">
        <v>0.0</v>
      </c>
      <c r="DV59" s="46">
        <v>0.0</v>
      </c>
      <c r="DW59" s="46">
        <v>0.0</v>
      </c>
      <c r="DX59" s="46">
        <v>0.0</v>
      </c>
      <c r="DY59" s="46">
        <v>0.0</v>
      </c>
      <c r="DZ59" s="46">
        <v>0.0</v>
      </c>
      <c r="EA59" s="46">
        <v>0.0</v>
      </c>
      <c r="EB59" s="46">
        <v>0.0</v>
      </c>
      <c r="EC59" s="46">
        <v>0.0</v>
      </c>
      <c r="ED59" s="46">
        <v>0.0</v>
      </c>
      <c r="EE59" s="46">
        <v>0.0</v>
      </c>
      <c r="EF59" s="46">
        <v>0.0</v>
      </c>
      <c r="EG59" s="46">
        <v>0.0</v>
      </c>
      <c r="EH59" s="46">
        <v>0.0</v>
      </c>
      <c r="EI59" s="46">
        <v>0.0</v>
      </c>
      <c r="EJ59" s="46">
        <v>0.0</v>
      </c>
      <c r="EK59" s="46">
        <v>0.0</v>
      </c>
      <c r="EL59" s="46">
        <v>0.0</v>
      </c>
      <c r="EM59" s="46">
        <v>0.0</v>
      </c>
      <c r="EN59" s="46">
        <v>0.0</v>
      </c>
      <c r="EO59" s="46">
        <v>0.0</v>
      </c>
      <c r="EP59" s="46">
        <v>0.0</v>
      </c>
      <c r="EQ59" s="46">
        <v>0.0</v>
      </c>
      <c r="ER59" s="46">
        <v>0.0</v>
      </c>
      <c r="ES59" s="46">
        <v>0.0</v>
      </c>
      <c r="ET59" s="46">
        <v>0.0</v>
      </c>
      <c r="EU59" s="45">
        <v>1.0</v>
      </c>
      <c r="EV59" s="45"/>
    </row>
    <row r="60" hidden="1">
      <c r="A60" s="35"/>
      <c r="B60" s="36"/>
      <c r="C60" s="35"/>
      <c r="D60" s="37"/>
      <c r="E60" s="37"/>
      <c r="F60" s="35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9">
        <v>24.0</v>
      </c>
      <c r="AM60" s="39">
        <v>0.0</v>
      </c>
      <c r="AN60" s="39">
        <v>0.0</v>
      </c>
      <c r="AO60" s="39">
        <v>0.0</v>
      </c>
      <c r="AP60" s="39">
        <v>0.0</v>
      </c>
      <c r="AQ60" s="39">
        <v>0.0</v>
      </c>
      <c r="AR60" s="39"/>
      <c r="AS60" s="39">
        <v>2.0</v>
      </c>
      <c r="AT60" s="39">
        <v>0.0</v>
      </c>
      <c r="AU60" s="39">
        <v>0.0</v>
      </c>
      <c r="AV60" s="39">
        <v>0.0</v>
      </c>
      <c r="AW60" s="39">
        <v>0.0</v>
      </c>
      <c r="AX60" s="39">
        <v>0.0</v>
      </c>
      <c r="AY60" s="39">
        <v>0.0</v>
      </c>
      <c r="AZ60" s="39">
        <v>0.0</v>
      </c>
      <c r="BA60" s="39">
        <v>0.0</v>
      </c>
      <c r="BB60" s="39">
        <v>0.0</v>
      </c>
      <c r="BC60" s="39">
        <v>0.0</v>
      </c>
      <c r="BD60" s="39"/>
      <c r="BE60" s="39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>
        <v>0.0</v>
      </c>
      <c r="DQ60" s="40">
        <v>0.0</v>
      </c>
      <c r="DR60" s="40">
        <v>0.0</v>
      </c>
      <c r="DS60" s="40">
        <v>0.0</v>
      </c>
      <c r="DT60" s="40">
        <v>0.0</v>
      </c>
      <c r="DU60" s="40">
        <v>0.0</v>
      </c>
      <c r="DV60" s="40">
        <v>0.0</v>
      </c>
      <c r="DW60" s="40">
        <v>0.0</v>
      </c>
      <c r="DX60" s="40">
        <v>0.0</v>
      </c>
      <c r="DY60" s="40">
        <v>0.0</v>
      </c>
      <c r="DZ60" s="40">
        <v>0.0</v>
      </c>
      <c r="EA60" s="40">
        <v>0.0</v>
      </c>
      <c r="EB60" s="40">
        <v>0.0</v>
      </c>
      <c r="EC60" s="40">
        <v>0.0</v>
      </c>
      <c r="ED60" s="40">
        <v>0.0</v>
      </c>
      <c r="EE60" s="40">
        <v>0.0</v>
      </c>
      <c r="EF60" s="40">
        <v>0.0</v>
      </c>
      <c r="EG60" s="40">
        <v>0.0</v>
      </c>
      <c r="EH60" s="40">
        <v>0.0</v>
      </c>
      <c r="EI60" s="40">
        <v>0.0</v>
      </c>
      <c r="EJ60" s="40">
        <v>0.0</v>
      </c>
      <c r="EK60" s="40">
        <v>0.0</v>
      </c>
      <c r="EL60" s="40">
        <v>0.0</v>
      </c>
      <c r="EM60" s="40">
        <v>0.0</v>
      </c>
      <c r="EN60" s="40">
        <v>0.0</v>
      </c>
      <c r="EO60" s="40">
        <v>0.0</v>
      </c>
      <c r="EP60" s="40">
        <v>0.0</v>
      </c>
      <c r="EQ60" s="40">
        <v>0.0</v>
      </c>
      <c r="ER60" s="40">
        <v>0.0</v>
      </c>
      <c r="ES60" s="40">
        <v>0.0</v>
      </c>
      <c r="ET60" s="40">
        <v>0.0</v>
      </c>
      <c r="EU60" s="39">
        <v>1.0</v>
      </c>
      <c r="EV60" s="39"/>
    </row>
    <row r="61" hidden="1">
      <c r="A61" s="41"/>
      <c r="B61" s="42"/>
      <c r="C61" s="41"/>
      <c r="D61" s="43"/>
      <c r="E61" s="43"/>
      <c r="F61" s="4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5">
        <v>24.0</v>
      </c>
      <c r="AM61" s="45">
        <v>0.0</v>
      </c>
      <c r="AN61" s="45">
        <v>0.0</v>
      </c>
      <c r="AO61" s="45">
        <v>0.0</v>
      </c>
      <c r="AP61" s="45">
        <v>0.0</v>
      </c>
      <c r="AQ61" s="45">
        <v>0.0</v>
      </c>
      <c r="AR61" s="45"/>
      <c r="AS61" s="45">
        <v>2.0</v>
      </c>
      <c r="AT61" s="45">
        <v>0.0</v>
      </c>
      <c r="AU61" s="45">
        <v>0.0</v>
      </c>
      <c r="AV61" s="45">
        <v>0.0</v>
      </c>
      <c r="AW61" s="45">
        <v>0.0</v>
      </c>
      <c r="AX61" s="45">
        <v>0.0</v>
      </c>
      <c r="AY61" s="45">
        <v>0.0</v>
      </c>
      <c r="AZ61" s="45">
        <v>0.0</v>
      </c>
      <c r="BA61" s="45">
        <v>0.0</v>
      </c>
      <c r="BB61" s="45">
        <v>0.0</v>
      </c>
      <c r="BC61" s="45">
        <v>0.0</v>
      </c>
      <c r="BD61" s="45"/>
      <c r="BE61" s="45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>
        <v>0.0</v>
      </c>
      <c r="DQ61" s="46">
        <v>0.0</v>
      </c>
      <c r="DR61" s="46">
        <v>0.0</v>
      </c>
      <c r="DS61" s="46">
        <v>0.0</v>
      </c>
      <c r="DT61" s="46">
        <v>0.0</v>
      </c>
      <c r="DU61" s="46">
        <v>0.0</v>
      </c>
      <c r="DV61" s="46">
        <v>0.0</v>
      </c>
      <c r="DW61" s="46">
        <v>0.0</v>
      </c>
      <c r="DX61" s="46">
        <v>0.0</v>
      </c>
      <c r="DY61" s="46">
        <v>0.0</v>
      </c>
      <c r="DZ61" s="46">
        <v>0.0</v>
      </c>
      <c r="EA61" s="46">
        <v>0.0</v>
      </c>
      <c r="EB61" s="46">
        <v>0.0</v>
      </c>
      <c r="EC61" s="46">
        <v>0.0</v>
      </c>
      <c r="ED61" s="46">
        <v>0.0</v>
      </c>
      <c r="EE61" s="46">
        <v>0.0</v>
      </c>
      <c r="EF61" s="46">
        <v>0.0</v>
      </c>
      <c r="EG61" s="46">
        <v>0.0</v>
      </c>
      <c r="EH61" s="46">
        <v>0.0</v>
      </c>
      <c r="EI61" s="46">
        <v>0.0</v>
      </c>
      <c r="EJ61" s="46">
        <v>0.0</v>
      </c>
      <c r="EK61" s="46">
        <v>0.0</v>
      </c>
      <c r="EL61" s="46">
        <v>0.0</v>
      </c>
      <c r="EM61" s="46">
        <v>0.0</v>
      </c>
      <c r="EN61" s="46">
        <v>0.0</v>
      </c>
      <c r="EO61" s="46">
        <v>0.0</v>
      </c>
      <c r="EP61" s="46">
        <v>0.0</v>
      </c>
      <c r="EQ61" s="46">
        <v>0.0</v>
      </c>
      <c r="ER61" s="46">
        <v>0.0</v>
      </c>
      <c r="ES61" s="46">
        <v>0.0</v>
      </c>
      <c r="ET61" s="46">
        <v>0.0</v>
      </c>
      <c r="EU61" s="45">
        <v>1.0</v>
      </c>
      <c r="EV61" s="45"/>
    </row>
    <row r="62" hidden="1">
      <c r="A62" s="35">
        <v>35.0</v>
      </c>
      <c r="B62" s="36"/>
      <c r="C62" s="35"/>
      <c r="D62" s="37"/>
      <c r="E62" s="37"/>
      <c r="F62" s="35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9">
        <v>24.0</v>
      </c>
      <c r="AM62" s="39">
        <v>0.0</v>
      </c>
      <c r="AN62" s="39">
        <v>0.0</v>
      </c>
      <c r="AO62" s="39">
        <v>0.0</v>
      </c>
      <c r="AP62" s="39">
        <v>0.0</v>
      </c>
      <c r="AQ62" s="39">
        <v>0.0</v>
      </c>
      <c r="AR62" s="39"/>
      <c r="AS62" s="39">
        <v>2.0</v>
      </c>
      <c r="AT62" s="39">
        <v>0.0</v>
      </c>
      <c r="AU62" s="39">
        <v>0.0</v>
      </c>
      <c r="AV62" s="39">
        <v>0.0</v>
      </c>
      <c r="AW62" s="39">
        <v>0.0</v>
      </c>
      <c r="AX62" s="39">
        <v>0.0</v>
      </c>
      <c r="AY62" s="39">
        <v>0.0</v>
      </c>
      <c r="AZ62" s="39">
        <v>0.0</v>
      </c>
      <c r="BA62" s="39">
        <v>0.0</v>
      </c>
      <c r="BB62" s="39">
        <v>0.0</v>
      </c>
      <c r="BC62" s="39">
        <v>0.0</v>
      </c>
      <c r="BD62" s="39"/>
      <c r="BE62" s="39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>
        <v>0.0</v>
      </c>
      <c r="DQ62" s="40">
        <v>0.0</v>
      </c>
      <c r="DR62" s="40">
        <v>0.0</v>
      </c>
      <c r="DS62" s="40">
        <v>0.0</v>
      </c>
      <c r="DT62" s="40">
        <v>0.0</v>
      </c>
      <c r="DU62" s="40">
        <v>0.0</v>
      </c>
      <c r="DV62" s="40">
        <v>0.0</v>
      </c>
      <c r="DW62" s="40">
        <v>0.0</v>
      </c>
      <c r="DX62" s="40">
        <v>0.0</v>
      </c>
      <c r="DY62" s="40">
        <v>0.0</v>
      </c>
      <c r="DZ62" s="40">
        <v>0.0</v>
      </c>
      <c r="EA62" s="40">
        <v>0.0</v>
      </c>
      <c r="EB62" s="40">
        <v>0.0</v>
      </c>
      <c r="EC62" s="40">
        <v>0.0</v>
      </c>
      <c r="ED62" s="40">
        <v>0.0</v>
      </c>
      <c r="EE62" s="40">
        <v>0.0</v>
      </c>
      <c r="EF62" s="40">
        <v>0.0</v>
      </c>
      <c r="EG62" s="40">
        <v>0.0</v>
      </c>
      <c r="EH62" s="40">
        <v>0.0</v>
      </c>
      <c r="EI62" s="40">
        <v>0.0</v>
      </c>
      <c r="EJ62" s="40">
        <v>0.0</v>
      </c>
      <c r="EK62" s="40">
        <v>0.0</v>
      </c>
      <c r="EL62" s="40">
        <v>0.0</v>
      </c>
      <c r="EM62" s="40">
        <v>0.0</v>
      </c>
      <c r="EN62" s="40">
        <v>0.0</v>
      </c>
      <c r="EO62" s="40">
        <v>0.0</v>
      </c>
      <c r="EP62" s="40">
        <v>0.0</v>
      </c>
      <c r="EQ62" s="40">
        <v>0.0</v>
      </c>
      <c r="ER62" s="40">
        <v>0.0</v>
      </c>
      <c r="ES62" s="40">
        <v>0.0</v>
      </c>
      <c r="ET62" s="40">
        <v>0.0</v>
      </c>
      <c r="EU62" s="39">
        <v>1.0</v>
      </c>
      <c r="EV62" s="39"/>
    </row>
    <row r="63">
      <c r="A63" s="41">
        <v>33.0</v>
      </c>
      <c r="B63" s="42">
        <v>10261.0</v>
      </c>
      <c r="C63" s="41" t="s">
        <v>90</v>
      </c>
      <c r="D63" s="43"/>
      <c r="E63" s="43"/>
      <c r="F63" s="41" t="s">
        <v>91</v>
      </c>
      <c r="G63" s="44">
        <v>0.5</v>
      </c>
      <c r="H63" s="44">
        <v>0.5</v>
      </c>
      <c r="I63" s="44" t="s">
        <v>42</v>
      </c>
      <c r="J63" s="44">
        <v>1.0000000000000002</v>
      </c>
      <c r="K63" s="44" t="s">
        <v>43</v>
      </c>
      <c r="L63" s="44"/>
      <c r="M63" s="44" t="s">
        <v>43</v>
      </c>
      <c r="N63" s="44"/>
      <c r="O63" s="44"/>
      <c r="P63" s="44">
        <v>1.0000000000000002</v>
      </c>
      <c r="Q63" s="44">
        <v>1.0000000000000002</v>
      </c>
      <c r="R63" s="44">
        <v>1.0000000000000002</v>
      </c>
      <c r="S63" s="44">
        <v>1.0</v>
      </c>
      <c r="T63" s="44"/>
      <c r="U63" s="44"/>
      <c r="V63" s="44">
        <v>0.5000000000000002</v>
      </c>
      <c r="W63" s="44">
        <v>1.0000000000000002</v>
      </c>
      <c r="X63" s="44">
        <v>1.0000000000000002</v>
      </c>
      <c r="Y63" s="44">
        <v>1.0000000000000002</v>
      </c>
      <c r="Z63" s="44"/>
      <c r="AA63" s="44"/>
      <c r="AB63" s="44">
        <v>1.0000000000000002</v>
      </c>
      <c r="AC63" s="44">
        <v>1.0000000000000002</v>
      </c>
      <c r="AD63" s="44"/>
      <c r="AE63" s="44"/>
      <c r="AF63" s="44">
        <v>1.0000000000000002</v>
      </c>
      <c r="AG63" s="44">
        <v>1.0000000000000002</v>
      </c>
      <c r="AH63" s="44"/>
      <c r="AI63" s="44">
        <v>1.0000000000000002</v>
      </c>
      <c r="AJ63" s="44">
        <v>1.0000000000000002</v>
      </c>
      <c r="AK63" s="44">
        <v>1.0000000000000002</v>
      </c>
      <c r="AL63" s="45">
        <v>24.0</v>
      </c>
      <c r="AM63" s="45">
        <v>15.5</v>
      </c>
      <c r="AN63" s="45">
        <v>16.5</v>
      </c>
      <c r="AO63" s="45">
        <v>0.0</v>
      </c>
      <c r="AP63" s="45">
        <v>0.0</v>
      </c>
      <c r="AQ63" s="45">
        <v>1.0</v>
      </c>
      <c r="AR63" s="45"/>
      <c r="AS63" s="45">
        <v>2.0</v>
      </c>
      <c r="AT63" s="45">
        <v>0.0</v>
      </c>
      <c r="AU63" s="45">
        <v>5.0</v>
      </c>
      <c r="AV63" s="45">
        <v>2.0</v>
      </c>
      <c r="AW63" s="45">
        <v>0.0</v>
      </c>
      <c r="AX63" s="45">
        <v>0.0</v>
      </c>
      <c r="AY63" s="45">
        <v>0.0</v>
      </c>
      <c r="AZ63" s="45">
        <v>0.0</v>
      </c>
      <c r="BA63" s="45">
        <v>0.0</v>
      </c>
      <c r="BB63" s="45">
        <v>0.0</v>
      </c>
      <c r="BC63" s="45">
        <v>0.0</v>
      </c>
      <c r="BD63" s="45"/>
      <c r="BE63" s="45"/>
      <c r="BF63" s="46" t="s">
        <v>28</v>
      </c>
      <c r="BG63" s="46" t="s">
        <v>28</v>
      </c>
      <c r="BH63" s="46" t="s">
        <v>28</v>
      </c>
      <c r="BI63" s="46">
        <v>0.0</v>
      </c>
      <c r="BJ63" s="46"/>
      <c r="BK63" s="46"/>
      <c r="BL63" s="46"/>
      <c r="BM63" s="46"/>
      <c r="BN63" s="46"/>
      <c r="BO63" s="46">
        <v>0.0</v>
      </c>
      <c r="BP63" s="46">
        <v>0.0</v>
      </c>
      <c r="BQ63" s="46">
        <v>0.0</v>
      </c>
      <c r="BR63" s="46" t="s">
        <v>28</v>
      </c>
      <c r="BS63" s="46"/>
      <c r="BT63" s="46"/>
      <c r="BU63" s="46">
        <v>1.0</v>
      </c>
      <c r="BV63" s="46">
        <v>0.0</v>
      </c>
      <c r="BW63" s="46">
        <v>0.0</v>
      </c>
      <c r="BX63" s="46">
        <v>0.0</v>
      </c>
      <c r="BY63" s="46"/>
      <c r="BZ63" s="46"/>
      <c r="CA63" s="46">
        <v>0.0</v>
      </c>
      <c r="CB63" s="46">
        <v>0.0</v>
      </c>
      <c r="CC63" s="46"/>
      <c r="CD63" s="46"/>
      <c r="CE63" s="46">
        <v>0.0</v>
      </c>
      <c r="CF63" s="46">
        <v>1.0</v>
      </c>
      <c r="CG63" s="46"/>
      <c r="CH63" s="46">
        <v>1.0</v>
      </c>
      <c r="CI63" s="46">
        <v>1.0</v>
      </c>
      <c r="CJ63" s="46">
        <v>1.0</v>
      </c>
      <c r="CK63" s="46">
        <v>1.0</v>
      </c>
      <c r="CL63" s="46">
        <v>1.0</v>
      </c>
      <c r="CM63" s="46"/>
      <c r="CN63" s="46">
        <v>0.0</v>
      </c>
      <c r="CO63" s="46"/>
      <c r="CP63" s="46"/>
      <c r="CQ63" s="46"/>
      <c r="CR63" s="46"/>
      <c r="CS63" s="46"/>
      <c r="CT63" s="46">
        <v>0.0</v>
      </c>
      <c r="CU63" s="46">
        <v>0.0</v>
      </c>
      <c r="CV63" s="46">
        <v>0.0</v>
      </c>
      <c r="CW63" s="46"/>
      <c r="CX63" s="46"/>
      <c r="CY63" s="46"/>
      <c r="CZ63" s="46">
        <v>0.0</v>
      </c>
      <c r="DA63" s="46">
        <v>0.0</v>
      </c>
      <c r="DB63" s="46">
        <v>0.0</v>
      </c>
      <c r="DC63" s="46">
        <v>0.0</v>
      </c>
      <c r="DD63" s="46"/>
      <c r="DE63" s="46"/>
      <c r="DF63" s="46">
        <v>0.0</v>
      </c>
      <c r="DG63" s="46">
        <v>0.0</v>
      </c>
      <c r="DH63" s="46"/>
      <c r="DI63" s="46"/>
      <c r="DJ63" s="46">
        <v>0.0</v>
      </c>
      <c r="DK63" s="46">
        <v>0.0</v>
      </c>
      <c r="DL63" s="46"/>
      <c r="DM63" s="46">
        <v>0.0</v>
      </c>
      <c r="DN63" s="46">
        <v>0.0</v>
      </c>
      <c r="DO63" s="46">
        <v>0.0</v>
      </c>
      <c r="DP63" s="46">
        <v>0.0</v>
      </c>
      <c r="DQ63" s="46">
        <v>0.0</v>
      </c>
      <c r="DR63" s="46">
        <v>0.0</v>
      </c>
      <c r="DS63" s="46">
        <v>0.0</v>
      </c>
      <c r="DT63" s="46">
        <v>0.0</v>
      </c>
      <c r="DU63" s="46">
        <v>0.0</v>
      </c>
      <c r="DV63" s="46">
        <v>0.0</v>
      </c>
      <c r="DW63" s="46">
        <v>0.0</v>
      </c>
      <c r="DX63" s="46">
        <v>0.0</v>
      </c>
      <c r="DY63" s="46">
        <v>0.0</v>
      </c>
      <c r="DZ63" s="46">
        <v>0.0</v>
      </c>
      <c r="EA63" s="46">
        <v>0.0</v>
      </c>
      <c r="EB63" s="46">
        <v>0.0</v>
      </c>
      <c r="EC63" s="46">
        <v>0.0</v>
      </c>
      <c r="ED63" s="46">
        <v>0.0</v>
      </c>
      <c r="EE63" s="46">
        <v>0.0</v>
      </c>
      <c r="EF63" s="46">
        <v>0.0</v>
      </c>
      <c r="EG63" s="46">
        <v>0.0</v>
      </c>
      <c r="EH63" s="46">
        <v>0.0</v>
      </c>
      <c r="EI63" s="46">
        <v>0.0</v>
      </c>
      <c r="EJ63" s="46">
        <v>0.0</v>
      </c>
      <c r="EK63" s="46">
        <v>0.0</v>
      </c>
      <c r="EL63" s="46">
        <v>0.0</v>
      </c>
      <c r="EM63" s="46">
        <v>0.0</v>
      </c>
      <c r="EN63" s="46">
        <v>0.0</v>
      </c>
      <c r="EO63" s="46">
        <v>0.0</v>
      </c>
      <c r="EP63" s="46">
        <v>0.0</v>
      </c>
      <c r="EQ63" s="46">
        <v>0.0</v>
      </c>
      <c r="ER63" s="46">
        <v>0.0</v>
      </c>
      <c r="ES63" s="46">
        <v>0.0</v>
      </c>
      <c r="ET63" s="46">
        <v>0.0</v>
      </c>
      <c r="EU63" s="45">
        <v>16.0</v>
      </c>
      <c r="EV63" s="45"/>
    </row>
    <row r="64">
      <c r="A64" s="35">
        <v>34.0</v>
      </c>
      <c r="B64" s="36">
        <v>10218.0</v>
      </c>
      <c r="C64" s="35" t="s">
        <v>92</v>
      </c>
      <c r="D64" s="37"/>
      <c r="E64" s="37"/>
      <c r="F64" s="35" t="s">
        <v>93</v>
      </c>
      <c r="G64" s="38">
        <v>0.8208333333333334</v>
      </c>
      <c r="H64" s="38">
        <v>0.5</v>
      </c>
      <c r="I64" s="38"/>
      <c r="J64" s="38"/>
      <c r="K64" s="38" t="s">
        <v>43</v>
      </c>
      <c r="L64" s="38"/>
      <c r="M64" s="38" t="s">
        <v>43</v>
      </c>
      <c r="N64" s="38"/>
      <c r="O64" s="38"/>
      <c r="P64" s="38"/>
      <c r="Q64" s="38">
        <v>0.5</v>
      </c>
      <c r="R64" s="38">
        <v>0.5</v>
      </c>
      <c r="S64" s="38"/>
      <c r="T64" s="38"/>
      <c r="U64" s="38">
        <v>0.5</v>
      </c>
      <c r="V64" s="38">
        <v>0.5</v>
      </c>
      <c r="W64" s="38">
        <v>0.5</v>
      </c>
      <c r="X64" s="38">
        <v>0.5</v>
      </c>
      <c r="Y64" s="38"/>
      <c r="Z64" s="38"/>
      <c r="AA64" s="38"/>
      <c r="AB64" s="38">
        <v>0.5</v>
      </c>
      <c r="AC64" s="38">
        <v>0.5</v>
      </c>
      <c r="AD64" s="38">
        <v>0.5</v>
      </c>
      <c r="AE64" s="38">
        <v>0.5</v>
      </c>
      <c r="AF64" s="38"/>
      <c r="AG64" s="38"/>
      <c r="AH64" s="38"/>
      <c r="AI64" s="38"/>
      <c r="AJ64" s="38">
        <v>0.5</v>
      </c>
      <c r="AK64" s="38">
        <v>0.5</v>
      </c>
      <c r="AL64" s="39">
        <v>24.0</v>
      </c>
      <c r="AM64" s="39">
        <v>7.320833333333333</v>
      </c>
      <c r="AN64" s="39">
        <v>7.320833333333333</v>
      </c>
      <c r="AO64" s="39">
        <v>0.0</v>
      </c>
      <c r="AP64" s="39">
        <v>0.0</v>
      </c>
      <c r="AQ64" s="39">
        <v>0.0</v>
      </c>
      <c r="AR64" s="39"/>
      <c r="AS64" s="39">
        <v>2.0</v>
      </c>
      <c r="AT64" s="39">
        <v>0.0</v>
      </c>
      <c r="AU64" s="39">
        <v>0.0</v>
      </c>
      <c r="AV64" s="39">
        <v>0.0</v>
      </c>
      <c r="AW64" s="39">
        <v>0.0</v>
      </c>
      <c r="AX64" s="39">
        <v>0.0</v>
      </c>
      <c r="AY64" s="39">
        <v>0.0</v>
      </c>
      <c r="AZ64" s="39">
        <v>0.0</v>
      </c>
      <c r="BA64" s="39">
        <v>0.0</v>
      </c>
      <c r="BB64" s="39">
        <v>0.0</v>
      </c>
      <c r="BC64" s="39">
        <v>0.0</v>
      </c>
      <c r="BD64" s="39"/>
      <c r="BE64" s="39"/>
      <c r="BF64" s="40">
        <v>0.0</v>
      </c>
      <c r="BG64" s="40" t="s">
        <v>28</v>
      </c>
      <c r="BH64" s="40"/>
      <c r="BI64" s="40"/>
      <c r="BJ64" s="40"/>
      <c r="BK64" s="40"/>
      <c r="BL64" s="40"/>
      <c r="BM64" s="40"/>
      <c r="BN64" s="40"/>
      <c r="BO64" s="40"/>
      <c r="BP64" s="40" t="s">
        <v>28</v>
      </c>
      <c r="BQ64" s="40" t="s">
        <v>28</v>
      </c>
      <c r="BR64" s="40"/>
      <c r="BS64" s="40"/>
      <c r="BT64" s="40" t="s">
        <v>28</v>
      </c>
      <c r="BU64" s="40" t="s">
        <v>28</v>
      </c>
      <c r="BV64" s="40" t="s">
        <v>28</v>
      </c>
      <c r="BW64" s="40" t="s">
        <v>28</v>
      </c>
      <c r="BX64" s="40"/>
      <c r="BY64" s="40"/>
      <c r="BZ64" s="40"/>
      <c r="CA64" s="40" t="s">
        <v>28</v>
      </c>
      <c r="CB64" s="40" t="s">
        <v>28</v>
      </c>
      <c r="CC64" s="40" t="s">
        <v>28</v>
      </c>
      <c r="CD64" s="40" t="s">
        <v>28</v>
      </c>
      <c r="CE64" s="40"/>
      <c r="CF64" s="40"/>
      <c r="CG64" s="40"/>
      <c r="CH64" s="40"/>
      <c r="CI64" s="40" t="s">
        <v>28</v>
      </c>
      <c r="CJ64" s="40" t="s">
        <v>28</v>
      </c>
      <c r="CK64" s="40">
        <v>0.0</v>
      </c>
      <c r="CL64" s="40">
        <v>1.0</v>
      </c>
      <c r="CM64" s="40"/>
      <c r="CN64" s="40"/>
      <c r="CO64" s="40"/>
      <c r="CP64" s="40"/>
      <c r="CQ64" s="40"/>
      <c r="CR64" s="40"/>
      <c r="CS64" s="40"/>
      <c r="CT64" s="40"/>
      <c r="CU64" s="40">
        <v>1.0</v>
      </c>
      <c r="CV64" s="40">
        <v>1.0</v>
      </c>
      <c r="CW64" s="40"/>
      <c r="CX64" s="40"/>
      <c r="CY64" s="40">
        <v>1.0</v>
      </c>
      <c r="CZ64" s="40">
        <v>1.0</v>
      </c>
      <c r="DA64" s="40">
        <v>1.0</v>
      </c>
      <c r="DB64" s="40">
        <v>1.0</v>
      </c>
      <c r="DC64" s="40"/>
      <c r="DD64" s="40"/>
      <c r="DE64" s="40"/>
      <c r="DF64" s="40">
        <v>1.0</v>
      </c>
      <c r="DG64" s="40">
        <v>1.0</v>
      </c>
      <c r="DH64" s="40">
        <v>1.0</v>
      </c>
      <c r="DI64" s="40">
        <v>1.0</v>
      </c>
      <c r="DJ64" s="40"/>
      <c r="DK64" s="40"/>
      <c r="DL64" s="40"/>
      <c r="DM64" s="40"/>
      <c r="DN64" s="40">
        <v>1.0</v>
      </c>
      <c r="DO64" s="40">
        <v>1.0</v>
      </c>
      <c r="DP64" s="40">
        <v>0.0</v>
      </c>
      <c r="DQ64" s="40">
        <v>0.0</v>
      </c>
      <c r="DR64" s="40">
        <v>0.0</v>
      </c>
      <c r="DS64" s="40">
        <v>0.0</v>
      </c>
      <c r="DT64" s="40">
        <v>0.0</v>
      </c>
      <c r="DU64" s="40">
        <v>0.0</v>
      </c>
      <c r="DV64" s="40">
        <v>0.0</v>
      </c>
      <c r="DW64" s="40">
        <v>0.0</v>
      </c>
      <c r="DX64" s="40">
        <v>0.0</v>
      </c>
      <c r="DY64" s="40">
        <v>0.0</v>
      </c>
      <c r="DZ64" s="40">
        <v>0.0</v>
      </c>
      <c r="EA64" s="40">
        <v>0.0</v>
      </c>
      <c r="EB64" s="40">
        <v>0.0</v>
      </c>
      <c r="EC64" s="40">
        <v>0.0</v>
      </c>
      <c r="ED64" s="40">
        <v>0.0</v>
      </c>
      <c r="EE64" s="40">
        <v>0.0</v>
      </c>
      <c r="EF64" s="40">
        <v>0.0</v>
      </c>
      <c r="EG64" s="40">
        <v>0.0</v>
      </c>
      <c r="EH64" s="40">
        <v>0.0</v>
      </c>
      <c r="EI64" s="40">
        <v>0.0</v>
      </c>
      <c r="EJ64" s="40">
        <v>0.0</v>
      </c>
      <c r="EK64" s="40">
        <v>0.0</v>
      </c>
      <c r="EL64" s="40">
        <v>0.0</v>
      </c>
      <c r="EM64" s="40">
        <v>0.0</v>
      </c>
      <c r="EN64" s="40">
        <v>0.0</v>
      </c>
      <c r="EO64" s="40">
        <v>0.0</v>
      </c>
      <c r="EP64" s="40">
        <v>0.0</v>
      </c>
      <c r="EQ64" s="40">
        <v>0.0</v>
      </c>
      <c r="ER64" s="40">
        <v>0.0</v>
      </c>
      <c r="ES64" s="40">
        <v>0.0</v>
      </c>
      <c r="ET64" s="40">
        <v>0.0</v>
      </c>
      <c r="EU64" s="39" t="s">
        <v>28</v>
      </c>
      <c r="EV64" s="39"/>
    </row>
    <row r="65">
      <c r="A65" s="41">
        <v>35.0</v>
      </c>
      <c r="B65" s="42">
        <v>10181.0</v>
      </c>
      <c r="C65" s="41" t="s">
        <v>94</v>
      </c>
      <c r="D65" s="43"/>
      <c r="E65" s="43"/>
      <c r="F65" s="41" t="s">
        <v>93</v>
      </c>
      <c r="G65" s="44"/>
      <c r="H65" s="44"/>
      <c r="I65" s="44"/>
      <c r="J65" s="44"/>
      <c r="K65" s="44" t="s">
        <v>43</v>
      </c>
      <c r="L65" s="44"/>
      <c r="M65" s="44" t="s">
        <v>43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5">
        <v>24.0</v>
      </c>
      <c r="AM65" s="45">
        <v>0.0</v>
      </c>
      <c r="AN65" s="45">
        <v>0.0</v>
      </c>
      <c r="AO65" s="45">
        <v>0.0</v>
      </c>
      <c r="AP65" s="45">
        <v>0.0</v>
      </c>
      <c r="AQ65" s="45">
        <v>0.0</v>
      </c>
      <c r="AR65" s="45"/>
      <c r="AS65" s="45">
        <v>2.0</v>
      </c>
      <c r="AT65" s="45">
        <v>0.0</v>
      </c>
      <c r="AU65" s="45">
        <v>0.0</v>
      </c>
      <c r="AV65" s="45">
        <v>0.0</v>
      </c>
      <c r="AW65" s="45">
        <v>0.0</v>
      </c>
      <c r="AX65" s="45">
        <v>0.0</v>
      </c>
      <c r="AY65" s="45">
        <v>0.0</v>
      </c>
      <c r="AZ65" s="45">
        <v>0.0</v>
      </c>
      <c r="BA65" s="45">
        <v>0.0</v>
      </c>
      <c r="BB65" s="45">
        <v>0.0</v>
      </c>
      <c r="BC65" s="45">
        <v>0.0</v>
      </c>
      <c r="BD65" s="45"/>
      <c r="BE65" s="45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>
        <v>0.0</v>
      </c>
      <c r="DQ65" s="46">
        <v>0.0</v>
      </c>
      <c r="DR65" s="46">
        <v>0.0</v>
      </c>
      <c r="DS65" s="46">
        <v>0.0</v>
      </c>
      <c r="DT65" s="46">
        <v>0.0</v>
      </c>
      <c r="DU65" s="46">
        <v>0.0</v>
      </c>
      <c r="DV65" s="46">
        <v>0.0</v>
      </c>
      <c r="DW65" s="46">
        <v>0.0</v>
      </c>
      <c r="DX65" s="46">
        <v>0.0</v>
      </c>
      <c r="DY65" s="46">
        <v>0.0</v>
      </c>
      <c r="DZ65" s="46">
        <v>0.0</v>
      </c>
      <c r="EA65" s="46">
        <v>0.0</v>
      </c>
      <c r="EB65" s="46">
        <v>0.0</v>
      </c>
      <c r="EC65" s="46">
        <v>0.0</v>
      </c>
      <c r="ED65" s="46">
        <v>0.0</v>
      </c>
      <c r="EE65" s="46">
        <v>0.0</v>
      </c>
      <c r="EF65" s="46">
        <v>0.0</v>
      </c>
      <c r="EG65" s="46">
        <v>0.0</v>
      </c>
      <c r="EH65" s="46">
        <v>0.0</v>
      </c>
      <c r="EI65" s="46">
        <v>0.0</v>
      </c>
      <c r="EJ65" s="46">
        <v>0.0</v>
      </c>
      <c r="EK65" s="46">
        <v>0.0</v>
      </c>
      <c r="EL65" s="46">
        <v>0.0</v>
      </c>
      <c r="EM65" s="46">
        <v>0.0</v>
      </c>
      <c r="EN65" s="46">
        <v>0.0</v>
      </c>
      <c r="EO65" s="46">
        <v>0.0</v>
      </c>
      <c r="EP65" s="46">
        <v>0.0</v>
      </c>
      <c r="EQ65" s="46">
        <v>0.0</v>
      </c>
      <c r="ER65" s="46">
        <v>0.0</v>
      </c>
      <c r="ES65" s="46">
        <v>0.0</v>
      </c>
      <c r="ET65" s="46">
        <v>0.0</v>
      </c>
      <c r="EU65" s="45" t="s">
        <v>28</v>
      </c>
      <c r="EV65" s="45"/>
    </row>
    <row r="66">
      <c r="A66" s="35">
        <v>36.0</v>
      </c>
      <c r="B66" s="36">
        <v>10391.0</v>
      </c>
      <c r="C66" s="35" t="s">
        <v>95</v>
      </c>
      <c r="D66" s="37"/>
      <c r="E66" s="37"/>
      <c r="F66" s="35" t="s">
        <v>93</v>
      </c>
      <c r="G66" s="38"/>
      <c r="H66" s="38"/>
      <c r="I66" s="38"/>
      <c r="J66" s="38"/>
      <c r="K66" s="38" t="s">
        <v>43</v>
      </c>
      <c r="L66" s="38"/>
      <c r="M66" s="38" t="s">
        <v>43</v>
      </c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9">
        <v>24.0</v>
      </c>
      <c r="AM66" s="39">
        <v>0.0</v>
      </c>
      <c r="AN66" s="39">
        <v>0.0</v>
      </c>
      <c r="AO66" s="39">
        <v>0.0</v>
      </c>
      <c r="AP66" s="39">
        <v>0.0</v>
      </c>
      <c r="AQ66" s="39">
        <v>0.0</v>
      </c>
      <c r="AR66" s="39"/>
      <c r="AS66" s="39">
        <v>2.0</v>
      </c>
      <c r="AT66" s="39">
        <v>0.0</v>
      </c>
      <c r="AU66" s="39">
        <v>0.0</v>
      </c>
      <c r="AV66" s="39">
        <v>0.0</v>
      </c>
      <c r="AW66" s="39">
        <v>0.0</v>
      </c>
      <c r="AX66" s="39">
        <v>0.0</v>
      </c>
      <c r="AY66" s="39">
        <v>0.0</v>
      </c>
      <c r="AZ66" s="39">
        <v>0.0</v>
      </c>
      <c r="BA66" s="39">
        <v>0.0</v>
      </c>
      <c r="BB66" s="39">
        <v>0.0</v>
      </c>
      <c r="BC66" s="39">
        <v>0.0</v>
      </c>
      <c r="BD66" s="39"/>
      <c r="BE66" s="39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>
        <v>0.0</v>
      </c>
      <c r="DQ66" s="40">
        <v>0.0</v>
      </c>
      <c r="DR66" s="40">
        <v>0.0</v>
      </c>
      <c r="DS66" s="40">
        <v>0.0</v>
      </c>
      <c r="DT66" s="40">
        <v>0.0</v>
      </c>
      <c r="DU66" s="40">
        <v>0.0</v>
      </c>
      <c r="DV66" s="40">
        <v>0.0</v>
      </c>
      <c r="DW66" s="40">
        <v>0.0</v>
      </c>
      <c r="DX66" s="40">
        <v>0.0</v>
      </c>
      <c r="DY66" s="40">
        <v>0.0</v>
      </c>
      <c r="DZ66" s="40">
        <v>0.0</v>
      </c>
      <c r="EA66" s="40">
        <v>0.0</v>
      </c>
      <c r="EB66" s="40">
        <v>0.0</v>
      </c>
      <c r="EC66" s="40">
        <v>0.0</v>
      </c>
      <c r="ED66" s="40">
        <v>0.0</v>
      </c>
      <c r="EE66" s="40">
        <v>0.0</v>
      </c>
      <c r="EF66" s="40">
        <v>0.0</v>
      </c>
      <c r="EG66" s="40">
        <v>0.0</v>
      </c>
      <c r="EH66" s="40">
        <v>0.0</v>
      </c>
      <c r="EI66" s="40">
        <v>0.0</v>
      </c>
      <c r="EJ66" s="40">
        <v>0.0</v>
      </c>
      <c r="EK66" s="40">
        <v>0.0</v>
      </c>
      <c r="EL66" s="40">
        <v>0.0</v>
      </c>
      <c r="EM66" s="40">
        <v>0.0</v>
      </c>
      <c r="EN66" s="40">
        <v>0.0</v>
      </c>
      <c r="EO66" s="40">
        <v>0.0</v>
      </c>
      <c r="EP66" s="40">
        <v>0.0</v>
      </c>
      <c r="EQ66" s="40">
        <v>0.0</v>
      </c>
      <c r="ER66" s="40">
        <v>0.0</v>
      </c>
      <c r="ES66" s="40">
        <v>0.0</v>
      </c>
      <c r="ET66" s="40">
        <v>0.0</v>
      </c>
      <c r="EU66" s="39" t="s">
        <v>28</v>
      </c>
      <c r="EV66" s="39"/>
    </row>
    <row r="67">
      <c r="A67" s="41">
        <v>37.0</v>
      </c>
      <c r="B67" s="42">
        <v>10037.0</v>
      </c>
      <c r="C67" s="41" t="s">
        <v>96</v>
      </c>
      <c r="D67" s="43"/>
      <c r="E67" s="43"/>
      <c r="F67" s="41" t="s">
        <v>93</v>
      </c>
      <c r="G67" s="44">
        <v>0.8750000000000002</v>
      </c>
      <c r="H67" s="44">
        <v>0.8312500000000003</v>
      </c>
      <c r="I67" s="44">
        <v>0.8979166666666668</v>
      </c>
      <c r="J67" s="44">
        <v>0.4625</v>
      </c>
      <c r="K67" s="44" t="s">
        <v>43</v>
      </c>
      <c r="L67" s="44"/>
      <c r="M67" s="44" t="s">
        <v>43</v>
      </c>
      <c r="N67" s="44"/>
      <c r="O67" s="44"/>
      <c r="P67" s="44"/>
      <c r="Q67" s="44">
        <v>0.6916666666666669</v>
      </c>
      <c r="R67" s="44">
        <v>0.7750000000000002</v>
      </c>
      <c r="S67" s="44"/>
      <c r="T67" s="44"/>
      <c r="U67" s="44">
        <v>0.5</v>
      </c>
      <c r="V67" s="44">
        <v>0.8250000000000002</v>
      </c>
      <c r="W67" s="44">
        <v>0.7833333333333335</v>
      </c>
      <c r="X67" s="44">
        <v>0.7291666666666667</v>
      </c>
      <c r="Y67" s="44"/>
      <c r="Z67" s="44"/>
      <c r="AA67" s="44"/>
      <c r="AB67" s="44">
        <v>0.8729166666666669</v>
      </c>
      <c r="AC67" s="44">
        <v>0.8458333333333334</v>
      </c>
      <c r="AD67" s="44"/>
      <c r="AE67" s="44"/>
      <c r="AF67" s="44">
        <v>0.7562500000000001</v>
      </c>
      <c r="AG67" s="44">
        <v>0.1875</v>
      </c>
      <c r="AH67" s="44"/>
      <c r="AI67" s="44">
        <v>0.8812500000000002</v>
      </c>
      <c r="AJ67" s="44"/>
      <c r="AK67" s="44">
        <v>0.716666666666667</v>
      </c>
      <c r="AL67" s="45">
        <v>24.0</v>
      </c>
      <c r="AM67" s="45">
        <v>11.631250000000001</v>
      </c>
      <c r="AN67" s="45">
        <v>11.631250000000001</v>
      </c>
      <c r="AO67" s="45">
        <v>0.0</v>
      </c>
      <c r="AP67" s="45">
        <v>0.0</v>
      </c>
      <c r="AQ67" s="45">
        <v>0.0</v>
      </c>
      <c r="AR67" s="45"/>
      <c r="AS67" s="45">
        <v>2.0</v>
      </c>
      <c r="AT67" s="45">
        <v>0.0</v>
      </c>
      <c r="AU67" s="45">
        <v>0.0</v>
      </c>
      <c r="AV67" s="45">
        <v>0.0</v>
      </c>
      <c r="AW67" s="45">
        <v>0.0</v>
      </c>
      <c r="AX67" s="45">
        <v>0.0</v>
      </c>
      <c r="AY67" s="45">
        <v>0.0</v>
      </c>
      <c r="AZ67" s="45">
        <v>0.0</v>
      </c>
      <c r="BA67" s="45">
        <v>0.0</v>
      </c>
      <c r="BB67" s="45">
        <v>0.0</v>
      </c>
      <c r="BC67" s="45">
        <v>0.0</v>
      </c>
      <c r="BD67" s="45"/>
      <c r="BE67" s="45"/>
      <c r="BF67" s="46">
        <v>0.0</v>
      </c>
      <c r="BG67" s="46">
        <v>0.0</v>
      </c>
      <c r="BH67" s="46">
        <v>0.0</v>
      </c>
      <c r="BI67" s="46">
        <v>0.0</v>
      </c>
      <c r="BJ67" s="46"/>
      <c r="BK67" s="46"/>
      <c r="BL67" s="46"/>
      <c r="BM67" s="46"/>
      <c r="BN67" s="46"/>
      <c r="BO67" s="46"/>
      <c r="BP67" s="46">
        <v>0.0</v>
      </c>
      <c r="BQ67" s="46">
        <v>0.0</v>
      </c>
      <c r="BR67" s="46"/>
      <c r="BS67" s="46"/>
      <c r="BT67" s="46" t="s">
        <v>28</v>
      </c>
      <c r="BU67" s="46">
        <v>0.0</v>
      </c>
      <c r="BV67" s="46">
        <v>0.0</v>
      </c>
      <c r="BW67" s="46">
        <v>0.0</v>
      </c>
      <c r="BX67" s="46"/>
      <c r="BY67" s="46"/>
      <c r="BZ67" s="46"/>
      <c r="CA67" s="46">
        <v>0.0</v>
      </c>
      <c r="CB67" s="46">
        <v>0.0</v>
      </c>
      <c r="CC67" s="46"/>
      <c r="CD67" s="46"/>
      <c r="CE67" s="46">
        <v>0.0</v>
      </c>
      <c r="CF67" s="46">
        <v>0.0</v>
      </c>
      <c r="CG67" s="46"/>
      <c r="CH67" s="46">
        <v>0.0</v>
      </c>
      <c r="CI67" s="46"/>
      <c r="CJ67" s="46">
        <v>0.0</v>
      </c>
      <c r="CK67" s="46">
        <v>0.0</v>
      </c>
      <c r="CL67" s="46">
        <v>0.0</v>
      </c>
      <c r="CM67" s="46">
        <v>0.0</v>
      </c>
      <c r="CN67" s="46">
        <v>0.0</v>
      </c>
      <c r="CO67" s="46"/>
      <c r="CP67" s="46"/>
      <c r="CQ67" s="46"/>
      <c r="CR67" s="46"/>
      <c r="CS67" s="46"/>
      <c r="CT67" s="46"/>
      <c r="CU67" s="46">
        <v>0.0</v>
      </c>
      <c r="CV67" s="46">
        <v>0.0</v>
      </c>
      <c r="CW67" s="46"/>
      <c r="CX67" s="46"/>
      <c r="CY67" s="46">
        <v>1.0</v>
      </c>
      <c r="CZ67" s="46">
        <v>0.0</v>
      </c>
      <c r="DA67" s="46">
        <v>0.0</v>
      </c>
      <c r="DB67" s="46">
        <v>0.0</v>
      </c>
      <c r="DC67" s="46"/>
      <c r="DD67" s="46"/>
      <c r="DE67" s="46"/>
      <c r="DF67" s="46">
        <v>0.0</v>
      </c>
      <c r="DG67" s="46">
        <v>0.0</v>
      </c>
      <c r="DH67" s="46"/>
      <c r="DI67" s="46"/>
      <c r="DJ67" s="46">
        <v>0.0</v>
      </c>
      <c r="DK67" s="46">
        <v>0.0</v>
      </c>
      <c r="DL67" s="46"/>
      <c r="DM67" s="46">
        <v>0.0</v>
      </c>
      <c r="DN67" s="46"/>
      <c r="DO67" s="46">
        <v>0.0</v>
      </c>
      <c r="DP67" s="46">
        <v>0.0</v>
      </c>
      <c r="DQ67" s="46">
        <v>0.0</v>
      </c>
      <c r="DR67" s="46">
        <v>0.0</v>
      </c>
      <c r="DS67" s="46">
        <v>0.0</v>
      </c>
      <c r="DT67" s="46">
        <v>0.0</v>
      </c>
      <c r="DU67" s="46">
        <v>0.0</v>
      </c>
      <c r="DV67" s="46">
        <v>0.0</v>
      </c>
      <c r="DW67" s="46">
        <v>0.0</v>
      </c>
      <c r="DX67" s="46">
        <v>0.0</v>
      </c>
      <c r="DY67" s="46">
        <v>0.0</v>
      </c>
      <c r="DZ67" s="46">
        <v>0.0</v>
      </c>
      <c r="EA67" s="46">
        <v>0.0</v>
      </c>
      <c r="EB67" s="46">
        <v>0.0</v>
      </c>
      <c r="EC67" s="46">
        <v>0.0</v>
      </c>
      <c r="ED67" s="46">
        <v>0.0</v>
      </c>
      <c r="EE67" s="46">
        <v>0.0</v>
      </c>
      <c r="EF67" s="46">
        <v>0.0</v>
      </c>
      <c r="EG67" s="46">
        <v>0.0</v>
      </c>
      <c r="EH67" s="46">
        <v>0.0</v>
      </c>
      <c r="EI67" s="46">
        <v>0.0</v>
      </c>
      <c r="EJ67" s="46">
        <v>0.0</v>
      </c>
      <c r="EK67" s="46">
        <v>0.0</v>
      </c>
      <c r="EL67" s="46">
        <v>0.0</v>
      </c>
      <c r="EM67" s="46">
        <v>0.0</v>
      </c>
      <c r="EN67" s="46">
        <v>0.0</v>
      </c>
      <c r="EO67" s="46">
        <v>0.0</v>
      </c>
      <c r="EP67" s="46">
        <v>0.0</v>
      </c>
      <c r="EQ67" s="46">
        <v>0.0</v>
      </c>
      <c r="ER67" s="46">
        <v>0.0</v>
      </c>
      <c r="ES67" s="46">
        <v>0.0</v>
      </c>
      <c r="ET67" s="46">
        <v>0.0</v>
      </c>
      <c r="EU67" s="45" t="s">
        <v>28</v>
      </c>
      <c r="EV67" s="45"/>
    </row>
    <row r="68">
      <c r="A68" s="35">
        <v>38.0</v>
      </c>
      <c r="B68" s="36">
        <v>10023.0</v>
      </c>
      <c r="C68" s="35" t="s">
        <v>97</v>
      </c>
      <c r="D68" s="37"/>
      <c r="E68" s="37"/>
      <c r="F68" s="35" t="s">
        <v>93</v>
      </c>
      <c r="G68" s="38">
        <v>0.5</v>
      </c>
      <c r="H68" s="38"/>
      <c r="I68" s="38">
        <v>0.5</v>
      </c>
      <c r="J68" s="38">
        <v>0.5</v>
      </c>
      <c r="K68" s="38" t="s">
        <v>43</v>
      </c>
      <c r="L68" s="38"/>
      <c r="M68" s="38" t="s">
        <v>43</v>
      </c>
      <c r="N68" s="38"/>
      <c r="O68" s="38"/>
      <c r="P68" s="38">
        <v>0.854166666666667</v>
      </c>
      <c r="Q68" s="38"/>
      <c r="R68" s="38">
        <v>0.5</v>
      </c>
      <c r="S68" s="38"/>
      <c r="T68" s="38"/>
      <c r="U68" s="38"/>
      <c r="V68" s="38">
        <v>0.5041666666666667</v>
      </c>
      <c r="W68" s="38">
        <v>0.5</v>
      </c>
      <c r="X68" s="38">
        <v>0.5</v>
      </c>
      <c r="Y68" s="38"/>
      <c r="Z68" s="38"/>
      <c r="AA68" s="38"/>
      <c r="AB68" s="38"/>
      <c r="AC68" s="38">
        <v>0.5</v>
      </c>
      <c r="AD68" s="38">
        <v>0.5</v>
      </c>
      <c r="AE68" s="38"/>
      <c r="AF68" s="38">
        <v>0.5</v>
      </c>
      <c r="AG68" s="38"/>
      <c r="AH68" s="38"/>
      <c r="AI68" s="38">
        <v>0.5</v>
      </c>
      <c r="AJ68" s="38">
        <v>0.5</v>
      </c>
      <c r="AK68" s="38">
        <v>0.572916666666667</v>
      </c>
      <c r="AL68" s="39">
        <v>24.0</v>
      </c>
      <c r="AM68" s="39">
        <v>7.43125</v>
      </c>
      <c r="AN68" s="39">
        <v>7.43125</v>
      </c>
      <c r="AO68" s="39">
        <v>0.0</v>
      </c>
      <c r="AP68" s="39">
        <v>0.0</v>
      </c>
      <c r="AQ68" s="39">
        <v>0.0</v>
      </c>
      <c r="AR68" s="39"/>
      <c r="AS68" s="39">
        <v>2.0</v>
      </c>
      <c r="AT68" s="39">
        <v>0.0</v>
      </c>
      <c r="AU68" s="39">
        <v>0.0</v>
      </c>
      <c r="AV68" s="39">
        <v>0.0</v>
      </c>
      <c r="AW68" s="39">
        <v>0.0</v>
      </c>
      <c r="AX68" s="39">
        <v>0.0</v>
      </c>
      <c r="AY68" s="39">
        <v>0.0</v>
      </c>
      <c r="AZ68" s="39">
        <v>0.0</v>
      </c>
      <c r="BA68" s="39">
        <v>0.0</v>
      </c>
      <c r="BB68" s="39">
        <v>0.0</v>
      </c>
      <c r="BC68" s="39">
        <v>0.0</v>
      </c>
      <c r="BD68" s="39"/>
      <c r="BE68" s="39"/>
      <c r="BF68" s="40" t="s">
        <v>28</v>
      </c>
      <c r="BG68" s="40"/>
      <c r="BH68" s="40" t="s">
        <v>28</v>
      </c>
      <c r="BI68" s="40" t="s">
        <v>28</v>
      </c>
      <c r="BJ68" s="40"/>
      <c r="BK68" s="40"/>
      <c r="BL68" s="40"/>
      <c r="BM68" s="40"/>
      <c r="BN68" s="40"/>
      <c r="BO68" s="40">
        <v>0.0</v>
      </c>
      <c r="BP68" s="40"/>
      <c r="BQ68" s="40" t="s">
        <v>28</v>
      </c>
      <c r="BR68" s="40"/>
      <c r="BS68" s="40"/>
      <c r="BT68" s="40"/>
      <c r="BU68" s="40">
        <v>0.0</v>
      </c>
      <c r="BV68" s="40" t="s">
        <v>28</v>
      </c>
      <c r="BW68" s="40" t="s">
        <v>28</v>
      </c>
      <c r="BX68" s="40"/>
      <c r="BY68" s="40"/>
      <c r="BZ68" s="40"/>
      <c r="CA68" s="40"/>
      <c r="CB68" s="40" t="s">
        <v>28</v>
      </c>
      <c r="CC68" s="40" t="s">
        <v>28</v>
      </c>
      <c r="CD68" s="40"/>
      <c r="CE68" s="40" t="s">
        <v>28</v>
      </c>
      <c r="CF68" s="40"/>
      <c r="CG68" s="40"/>
      <c r="CH68" s="40" t="s">
        <v>28</v>
      </c>
      <c r="CI68" s="40" t="s">
        <v>28</v>
      </c>
      <c r="CJ68" s="40">
        <v>0.0</v>
      </c>
      <c r="CK68" s="40">
        <v>1.0</v>
      </c>
      <c r="CL68" s="40"/>
      <c r="CM68" s="40">
        <v>1.0</v>
      </c>
      <c r="CN68" s="40">
        <v>1.0</v>
      </c>
      <c r="CO68" s="40"/>
      <c r="CP68" s="40"/>
      <c r="CQ68" s="40"/>
      <c r="CR68" s="40"/>
      <c r="CS68" s="40"/>
      <c r="CT68" s="40">
        <v>0.0</v>
      </c>
      <c r="CU68" s="40"/>
      <c r="CV68" s="40">
        <v>1.0</v>
      </c>
      <c r="CW68" s="40"/>
      <c r="CX68" s="40"/>
      <c r="CY68" s="40"/>
      <c r="CZ68" s="40">
        <v>0.0</v>
      </c>
      <c r="DA68" s="40">
        <v>1.0</v>
      </c>
      <c r="DB68" s="40">
        <v>1.0</v>
      </c>
      <c r="DC68" s="40"/>
      <c r="DD68" s="40"/>
      <c r="DE68" s="40"/>
      <c r="DF68" s="40"/>
      <c r="DG68" s="40">
        <v>1.0</v>
      </c>
      <c r="DH68" s="40">
        <v>1.0</v>
      </c>
      <c r="DI68" s="40"/>
      <c r="DJ68" s="40">
        <v>1.0</v>
      </c>
      <c r="DK68" s="40"/>
      <c r="DL68" s="40"/>
      <c r="DM68" s="40">
        <v>1.0</v>
      </c>
      <c r="DN68" s="40">
        <v>1.0</v>
      </c>
      <c r="DO68" s="40">
        <v>0.0</v>
      </c>
      <c r="DP68" s="40">
        <v>0.0</v>
      </c>
      <c r="DQ68" s="40">
        <v>0.0</v>
      </c>
      <c r="DR68" s="40">
        <v>0.0</v>
      </c>
      <c r="DS68" s="40">
        <v>0.0</v>
      </c>
      <c r="DT68" s="40">
        <v>0.0</v>
      </c>
      <c r="DU68" s="40">
        <v>0.0</v>
      </c>
      <c r="DV68" s="40">
        <v>0.0</v>
      </c>
      <c r="DW68" s="40">
        <v>0.0</v>
      </c>
      <c r="DX68" s="40">
        <v>0.0</v>
      </c>
      <c r="DY68" s="40">
        <v>0.0</v>
      </c>
      <c r="DZ68" s="40">
        <v>0.0</v>
      </c>
      <c r="EA68" s="40">
        <v>0.0</v>
      </c>
      <c r="EB68" s="40">
        <v>0.0</v>
      </c>
      <c r="EC68" s="40">
        <v>0.0</v>
      </c>
      <c r="ED68" s="40">
        <v>0.0</v>
      </c>
      <c r="EE68" s="40">
        <v>0.0</v>
      </c>
      <c r="EF68" s="40">
        <v>0.0</v>
      </c>
      <c r="EG68" s="40">
        <v>0.0</v>
      </c>
      <c r="EH68" s="40">
        <v>0.0</v>
      </c>
      <c r="EI68" s="40">
        <v>0.0</v>
      </c>
      <c r="EJ68" s="40">
        <v>0.0</v>
      </c>
      <c r="EK68" s="40">
        <v>0.0</v>
      </c>
      <c r="EL68" s="40">
        <v>0.0</v>
      </c>
      <c r="EM68" s="40">
        <v>0.0</v>
      </c>
      <c r="EN68" s="40">
        <v>0.0</v>
      </c>
      <c r="EO68" s="40">
        <v>0.0</v>
      </c>
      <c r="EP68" s="40">
        <v>0.0</v>
      </c>
      <c r="EQ68" s="40">
        <v>0.0</v>
      </c>
      <c r="ER68" s="40">
        <v>0.0</v>
      </c>
      <c r="ES68" s="40">
        <v>0.0</v>
      </c>
      <c r="ET68" s="40">
        <v>0.0</v>
      </c>
      <c r="EU68" s="39" t="s">
        <v>28</v>
      </c>
      <c r="EV68" s="39"/>
    </row>
    <row r="69">
      <c r="A69" s="41">
        <v>39.0</v>
      </c>
      <c r="B69" s="42">
        <v>10158.0</v>
      </c>
      <c r="C69" s="41" t="s">
        <v>98</v>
      </c>
      <c r="D69" s="43"/>
      <c r="E69" s="43"/>
      <c r="F69" s="41" t="s">
        <v>93</v>
      </c>
      <c r="G69" s="44"/>
      <c r="H69" s="44"/>
      <c r="I69" s="44"/>
      <c r="J69" s="44"/>
      <c r="K69" s="44" t="s">
        <v>43</v>
      </c>
      <c r="L69" s="44"/>
      <c r="M69" s="44" t="s">
        <v>43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5">
        <v>24.0</v>
      </c>
      <c r="AM69" s="45">
        <v>0.0</v>
      </c>
      <c r="AN69" s="45">
        <v>0.0</v>
      </c>
      <c r="AO69" s="45">
        <v>0.0</v>
      </c>
      <c r="AP69" s="45">
        <v>0.0</v>
      </c>
      <c r="AQ69" s="45">
        <v>0.0</v>
      </c>
      <c r="AR69" s="45"/>
      <c r="AS69" s="45">
        <v>2.0</v>
      </c>
      <c r="AT69" s="45">
        <v>0.0</v>
      </c>
      <c r="AU69" s="45">
        <v>0.0</v>
      </c>
      <c r="AV69" s="45">
        <v>0.0</v>
      </c>
      <c r="AW69" s="45">
        <v>0.0</v>
      </c>
      <c r="AX69" s="45">
        <v>0.0</v>
      </c>
      <c r="AY69" s="45">
        <v>0.0</v>
      </c>
      <c r="AZ69" s="45">
        <v>0.0</v>
      </c>
      <c r="BA69" s="45">
        <v>0.0</v>
      </c>
      <c r="BB69" s="45">
        <v>0.0</v>
      </c>
      <c r="BC69" s="45">
        <v>0.0</v>
      </c>
      <c r="BD69" s="45"/>
      <c r="BE69" s="45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>
        <v>0.0</v>
      </c>
      <c r="DQ69" s="46">
        <v>0.0</v>
      </c>
      <c r="DR69" s="46">
        <v>0.0</v>
      </c>
      <c r="DS69" s="46">
        <v>0.0</v>
      </c>
      <c r="DT69" s="46">
        <v>0.0</v>
      </c>
      <c r="DU69" s="46">
        <v>0.0</v>
      </c>
      <c r="DV69" s="46">
        <v>0.0</v>
      </c>
      <c r="DW69" s="46">
        <v>0.0</v>
      </c>
      <c r="DX69" s="46">
        <v>0.0</v>
      </c>
      <c r="DY69" s="46">
        <v>0.0</v>
      </c>
      <c r="DZ69" s="46">
        <v>0.0</v>
      </c>
      <c r="EA69" s="46">
        <v>0.0</v>
      </c>
      <c r="EB69" s="46">
        <v>0.0</v>
      </c>
      <c r="EC69" s="46">
        <v>0.0</v>
      </c>
      <c r="ED69" s="46">
        <v>0.0</v>
      </c>
      <c r="EE69" s="46">
        <v>0.0</v>
      </c>
      <c r="EF69" s="46">
        <v>0.0</v>
      </c>
      <c r="EG69" s="46">
        <v>0.0</v>
      </c>
      <c r="EH69" s="46">
        <v>0.0</v>
      </c>
      <c r="EI69" s="46">
        <v>0.0</v>
      </c>
      <c r="EJ69" s="46">
        <v>0.0</v>
      </c>
      <c r="EK69" s="46">
        <v>0.0</v>
      </c>
      <c r="EL69" s="46">
        <v>0.0</v>
      </c>
      <c r="EM69" s="46">
        <v>0.0</v>
      </c>
      <c r="EN69" s="46">
        <v>0.0</v>
      </c>
      <c r="EO69" s="46">
        <v>0.0</v>
      </c>
      <c r="EP69" s="46">
        <v>0.0</v>
      </c>
      <c r="EQ69" s="46">
        <v>0.0</v>
      </c>
      <c r="ER69" s="46">
        <v>0.0</v>
      </c>
      <c r="ES69" s="46">
        <v>0.0</v>
      </c>
      <c r="ET69" s="46">
        <v>0.0</v>
      </c>
      <c r="EU69" s="45" t="s">
        <v>28</v>
      </c>
      <c r="EV69" s="45"/>
    </row>
    <row r="70">
      <c r="A70" s="35">
        <v>40.0</v>
      </c>
      <c r="B70" s="36">
        <v>10359.0</v>
      </c>
      <c r="C70" s="35" t="s">
        <v>99</v>
      </c>
      <c r="D70" s="37"/>
      <c r="E70" s="37"/>
      <c r="F70" s="35" t="s">
        <v>93</v>
      </c>
      <c r="G70" s="38"/>
      <c r="H70" s="38"/>
      <c r="I70" s="38"/>
      <c r="J70" s="38"/>
      <c r="K70" s="38" t="s">
        <v>43</v>
      </c>
      <c r="L70" s="38"/>
      <c r="M70" s="38" t="s">
        <v>43</v>
      </c>
      <c r="N70" s="38"/>
      <c r="O70" s="38"/>
      <c r="P70" s="38"/>
      <c r="Q70" s="38">
        <v>0.5</v>
      </c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9">
        <v>24.0</v>
      </c>
      <c r="AM70" s="39">
        <v>0.5</v>
      </c>
      <c r="AN70" s="39">
        <v>0.5</v>
      </c>
      <c r="AO70" s="39">
        <v>0.0</v>
      </c>
      <c r="AP70" s="39">
        <v>0.0</v>
      </c>
      <c r="AQ70" s="39">
        <v>0.0</v>
      </c>
      <c r="AR70" s="39"/>
      <c r="AS70" s="39">
        <v>2.0</v>
      </c>
      <c r="AT70" s="39">
        <v>0.0</v>
      </c>
      <c r="AU70" s="39">
        <v>0.0</v>
      </c>
      <c r="AV70" s="39">
        <v>0.0</v>
      </c>
      <c r="AW70" s="39">
        <v>0.0</v>
      </c>
      <c r="AX70" s="39">
        <v>0.0</v>
      </c>
      <c r="AY70" s="39">
        <v>0.0</v>
      </c>
      <c r="AZ70" s="39">
        <v>0.0</v>
      </c>
      <c r="BA70" s="39">
        <v>0.0</v>
      </c>
      <c r="BB70" s="39">
        <v>0.0</v>
      </c>
      <c r="BC70" s="39">
        <v>0.0</v>
      </c>
      <c r="BD70" s="39"/>
      <c r="BE70" s="39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 t="s">
        <v>28</v>
      </c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>
        <v>1.0</v>
      </c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>
        <v>0.0</v>
      </c>
      <c r="DQ70" s="40">
        <v>0.0</v>
      </c>
      <c r="DR70" s="40">
        <v>0.0</v>
      </c>
      <c r="DS70" s="40">
        <v>0.0</v>
      </c>
      <c r="DT70" s="40">
        <v>0.0</v>
      </c>
      <c r="DU70" s="40">
        <v>0.0</v>
      </c>
      <c r="DV70" s="40">
        <v>0.0</v>
      </c>
      <c r="DW70" s="40">
        <v>0.0</v>
      </c>
      <c r="DX70" s="40">
        <v>0.0</v>
      </c>
      <c r="DY70" s="40">
        <v>0.0</v>
      </c>
      <c r="DZ70" s="40">
        <v>0.0</v>
      </c>
      <c r="EA70" s="40">
        <v>0.0</v>
      </c>
      <c r="EB70" s="40">
        <v>0.0</v>
      </c>
      <c r="EC70" s="40">
        <v>0.0</v>
      </c>
      <c r="ED70" s="40">
        <v>0.0</v>
      </c>
      <c r="EE70" s="40">
        <v>0.0</v>
      </c>
      <c r="EF70" s="40">
        <v>0.0</v>
      </c>
      <c r="EG70" s="40">
        <v>0.0</v>
      </c>
      <c r="EH70" s="40">
        <v>0.0</v>
      </c>
      <c r="EI70" s="40">
        <v>0.0</v>
      </c>
      <c r="EJ70" s="40">
        <v>0.0</v>
      </c>
      <c r="EK70" s="40">
        <v>0.0</v>
      </c>
      <c r="EL70" s="40">
        <v>0.0</v>
      </c>
      <c r="EM70" s="40">
        <v>0.0</v>
      </c>
      <c r="EN70" s="40">
        <v>0.0</v>
      </c>
      <c r="EO70" s="40">
        <v>0.0</v>
      </c>
      <c r="EP70" s="40">
        <v>0.0</v>
      </c>
      <c r="EQ70" s="40">
        <v>0.0</v>
      </c>
      <c r="ER70" s="40">
        <v>0.0</v>
      </c>
      <c r="ES70" s="40">
        <v>0.0</v>
      </c>
      <c r="ET70" s="40">
        <v>0.0</v>
      </c>
      <c r="EU70" s="39" t="s">
        <v>28</v>
      </c>
      <c r="EV70" s="39"/>
    </row>
    <row r="71">
      <c r="A71" s="41">
        <v>41.0</v>
      </c>
      <c r="B71" s="42">
        <v>10038.0</v>
      </c>
      <c r="C71" s="41" t="s">
        <v>100</v>
      </c>
      <c r="D71" s="43"/>
      <c r="E71" s="43"/>
      <c r="F71" s="41" t="s">
        <v>93</v>
      </c>
      <c r="G71" s="44"/>
      <c r="H71" s="44"/>
      <c r="I71" s="44"/>
      <c r="J71" s="44"/>
      <c r="K71" s="44" t="s">
        <v>43</v>
      </c>
      <c r="L71" s="44"/>
      <c r="M71" s="44" t="s">
        <v>43</v>
      </c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5">
        <v>24.0</v>
      </c>
      <c r="AM71" s="45">
        <v>0.0</v>
      </c>
      <c r="AN71" s="45">
        <v>0.0</v>
      </c>
      <c r="AO71" s="45">
        <v>0.0</v>
      </c>
      <c r="AP71" s="45">
        <v>0.0</v>
      </c>
      <c r="AQ71" s="45">
        <v>0.0</v>
      </c>
      <c r="AR71" s="45"/>
      <c r="AS71" s="45">
        <v>2.0</v>
      </c>
      <c r="AT71" s="45">
        <v>0.0</v>
      </c>
      <c r="AU71" s="45">
        <v>0.0</v>
      </c>
      <c r="AV71" s="45">
        <v>0.0</v>
      </c>
      <c r="AW71" s="45">
        <v>0.0</v>
      </c>
      <c r="AX71" s="45">
        <v>0.0</v>
      </c>
      <c r="AY71" s="45">
        <v>0.0</v>
      </c>
      <c r="AZ71" s="45">
        <v>0.0</v>
      </c>
      <c r="BA71" s="45">
        <v>0.0</v>
      </c>
      <c r="BB71" s="45">
        <v>0.0</v>
      </c>
      <c r="BC71" s="45">
        <v>0.0</v>
      </c>
      <c r="BD71" s="45"/>
      <c r="BE71" s="45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>
        <v>0.0</v>
      </c>
      <c r="DQ71" s="46">
        <v>0.0</v>
      </c>
      <c r="DR71" s="46">
        <v>0.0</v>
      </c>
      <c r="DS71" s="46">
        <v>0.0</v>
      </c>
      <c r="DT71" s="46">
        <v>0.0</v>
      </c>
      <c r="DU71" s="46">
        <v>0.0</v>
      </c>
      <c r="DV71" s="46">
        <v>0.0</v>
      </c>
      <c r="DW71" s="46">
        <v>0.0</v>
      </c>
      <c r="DX71" s="46">
        <v>0.0</v>
      </c>
      <c r="DY71" s="46">
        <v>0.0</v>
      </c>
      <c r="DZ71" s="46">
        <v>0.0</v>
      </c>
      <c r="EA71" s="46">
        <v>0.0</v>
      </c>
      <c r="EB71" s="46">
        <v>0.0</v>
      </c>
      <c r="EC71" s="46">
        <v>0.0</v>
      </c>
      <c r="ED71" s="46">
        <v>0.0</v>
      </c>
      <c r="EE71" s="46">
        <v>0.0</v>
      </c>
      <c r="EF71" s="46">
        <v>0.0</v>
      </c>
      <c r="EG71" s="46">
        <v>0.0</v>
      </c>
      <c r="EH71" s="46">
        <v>0.0</v>
      </c>
      <c r="EI71" s="46">
        <v>0.0</v>
      </c>
      <c r="EJ71" s="46">
        <v>0.0</v>
      </c>
      <c r="EK71" s="46">
        <v>0.0</v>
      </c>
      <c r="EL71" s="46">
        <v>0.0</v>
      </c>
      <c r="EM71" s="46">
        <v>0.0</v>
      </c>
      <c r="EN71" s="46">
        <v>0.0</v>
      </c>
      <c r="EO71" s="46">
        <v>0.0</v>
      </c>
      <c r="EP71" s="46">
        <v>0.0</v>
      </c>
      <c r="EQ71" s="46">
        <v>0.0</v>
      </c>
      <c r="ER71" s="46">
        <v>0.0</v>
      </c>
      <c r="ES71" s="46">
        <v>0.0</v>
      </c>
      <c r="ET71" s="46">
        <v>0.0</v>
      </c>
      <c r="EU71" s="45" t="s">
        <v>28</v>
      </c>
      <c r="EV71" s="45"/>
    </row>
    <row r="72">
      <c r="A72" s="35">
        <v>42.0</v>
      </c>
      <c r="B72" s="36">
        <v>10045.0</v>
      </c>
      <c r="C72" s="35" t="s">
        <v>101</v>
      </c>
      <c r="D72" s="37"/>
      <c r="E72" s="37"/>
      <c r="F72" s="35" t="s">
        <v>93</v>
      </c>
      <c r="G72" s="38"/>
      <c r="H72" s="38"/>
      <c r="I72" s="38"/>
      <c r="J72" s="38"/>
      <c r="K72" s="38" t="s">
        <v>43</v>
      </c>
      <c r="L72" s="38"/>
      <c r="M72" s="38" t="s">
        <v>43</v>
      </c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9">
        <v>24.0</v>
      </c>
      <c r="AM72" s="39">
        <v>0.0</v>
      </c>
      <c r="AN72" s="39">
        <v>0.0</v>
      </c>
      <c r="AO72" s="39">
        <v>0.0</v>
      </c>
      <c r="AP72" s="39">
        <v>0.0</v>
      </c>
      <c r="AQ72" s="39">
        <v>0.0</v>
      </c>
      <c r="AR72" s="39"/>
      <c r="AS72" s="39">
        <v>2.0</v>
      </c>
      <c r="AT72" s="39">
        <v>0.0</v>
      </c>
      <c r="AU72" s="39">
        <v>0.0</v>
      </c>
      <c r="AV72" s="39">
        <v>0.0</v>
      </c>
      <c r="AW72" s="39">
        <v>0.0</v>
      </c>
      <c r="AX72" s="39">
        <v>0.0</v>
      </c>
      <c r="AY72" s="39">
        <v>0.0</v>
      </c>
      <c r="AZ72" s="39">
        <v>0.0</v>
      </c>
      <c r="BA72" s="39">
        <v>0.0</v>
      </c>
      <c r="BB72" s="39">
        <v>0.0</v>
      </c>
      <c r="BC72" s="39">
        <v>0.0</v>
      </c>
      <c r="BD72" s="39"/>
      <c r="BE72" s="39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>
        <v>0.0</v>
      </c>
      <c r="DQ72" s="40">
        <v>0.0</v>
      </c>
      <c r="DR72" s="40">
        <v>0.0</v>
      </c>
      <c r="DS72" s="40">
        <v>0.0</v>
      </c>
      <c r="DT72" s="40">
        <v>0.0</v>
      </c>
      <c r="DU72" s="40">
        <v>0.0</v>
      </c>
      <c r="DV72" s="40">
        <v>0.0</v>
      </c>
      <c r="DW72" s="40">
        <v>0.0</v>
      </c>
      <c r="DX72" s="40">
        <v>0.0</v>
      </c>
      <c r="DY72" s="40">
        <v>0.0</v>
      </c>
      <c r="DZ72" s="40">
        <v>0.0</v>
      </c>
      <c r="EA72" s="40">
        <v>0.0</v>
      </c>
      <c r="EB72" s="40">
        <v>0.0</v>
      </c>
      <c r="EC72" s="40">
        <v>0.0</v>
      </c>
      <c r="ED72" s="40">
        <v>0.0</v>
      </c>
      <c r="EE72" s="40">
        <v>0.0</v>
      </c>
      <c r="EF72" s="40">
        <v>0.0</v>
      </c>
      <c r="EG72" s="40">
        <v>0.0</v>
      </c>
      <c r="EH72" s="40">
        <v>0.0</v>
      </c>
      <c r="EI72" s="40">
        <v>0.0</v>
      </c>
      <c r="EJ72" s="40">
        <v>0.0</v>
      </c>
      <c r="EK72" s="40">
        <v>0.0</v>
      </c>
      <c r="EL72" s="40">
        <v>0.0</v>
      </c>
      <c r="EM72" s="40">
        <v>0.0</v>
      </c>
      <c r="EN72" s="40">
        <v>0.0</v>
      </c>
      <c r="EO72" s="40">
        <v>0.0</v>
      </c>
      <c r="EP72" s="40">
        <v>0.0</v>
      </c>
      <c r="EQ72" s="40">
        <v>0.0</v>
      </c>
      <c r="ER72" s="40">
        <v>0.0</v>
      </c>
      <c r="ES72" s="40">
        <v>0.0</v>
      </c>
      <c r="ET72" s="40">
        <v>0.0</v>
      </c>
      <c r="EU72" s="39" t="s">
        <v>28</v>
      </c>
      <c r="EV72" s="39"/>
    </row>
    <row r="73">
      <c r="A73" s="41">
        <v>43.0</v>
      </c>
      <c r="B73" s="42">
        <v>10106.0</v>
      </c>
      <c r="C73" s="41" t="s">
        <v>102</v>
      </c>
      <c r="D73" s="43"/>
      <c r="E73" s="43"/>
      <c r="F73" s="41" t="s">
        <v>93</v>
      </c>
      <c r="G73" s="44"/>
      <c r="H73" s="44">
        <v>0.5</v>
      </c>
      <c r="I73" s="44"/>
      <c r="J73" s="44"/>
      <c r="K73" s="44" t="s">
        <v>43</v>
      </c>
      <c r="L73" s="44"/>
      <c r="M73" s="44" t="s">
        <v>43</v>
      </c>
      <c r="N73" s="44"/>
      <c r="O73" s="44"/>
      <c r="P73" s="44">
        <v>0.5</v>
      </c>
      <c r="Q73" s="44">
        <v>0.5</v>
      </c>
      <c r="R73" s="44"/>
      <c r="S73" s="44"/>
      <c r="T73" s="44"/>
      <c r="U73" s="44">
        <v>0.5</v>
      </c>
      <c r="V73" s="44"/>
      <c r="W73" s="44"/>
      <c r="X73" s="44">
        <v>0.5</v>
      </c>
      <c r="Y73" s="44"/>
      <c r="Z73" s="44"/>
      <c r="AA73" s="44"/>
      <c r="AB73" s="44"/>
      <c r="AC73" s="44"/>
      <c r="AD73" s="44">
        <v>0.5</v>
      </c>
      <c r="AE73" s="44"/>
      <c r="AF73" s="44"/>
      <c r="AG73" s="44"/>
      <c r="AH73" s="44"/>
      <c r="AI73" s="44"/>
      <c r="AJ73" s="44">
        <v>0.5</v>
      </c>
      <c r="AK73" s="44">
        <v>0.5</v>
      </c>
      <c r="AL73" s="45">
        <v>24.0</v>
      </c>
      <c r="AM73" s="45">
        <v>4.0</v>
      </c>
      <c r="AN73" s="45">
        <v>4.0</v>
      </c>
      <c r="AO73" s="45">
        <v>0.0</v>
      </c>
      <c r="AP73" s="45">
        <v>0.0</v>
      </c>
      <c r="AQ73" s="45">
        <v>0.0</v>
      </c>
      <c r="AR73" s="45"/>
      <c r="AS73" s="45">
        <v>2.0</v>
      </c>
      <c r="AT73" s="45">
        <v>0.0</v>
      </c>
      <c r="AU73" s="45">
        <v>0.0</v>
      </c>
      <c r="AV73" s="45">
        <v>0.0</v>
      </c>
      <c r="AW73" s="45">
        <v>0.0</v>
      </c>
      <c r="AX73" s="45">
        <v>0.0</v>
      </c>
      <c r="AY73" s="45">
        <v>0.0</v>
      </c>
      <c r="AZ73" s="45">
        <v>0.0</v>
      </c>
      <c r="BA73" s="45">
        <v>0.0</v>
      </c>
      <c r="BB73" s="45">
        <v>0.0</v>
      </c>
      <c r="BC73" s="45">
        <v>0.0</v>
      </c>
      <c r="BD73" s="45"/>
      <c r="BE73" s="45"/>
      <c r="BF73" s="46"/>
      <c r="BG73" s="46" t="s">
        <v>28</v>
      </c>
      <c r="BH73" s="46"/>
      <c r="BI73" s="46"/>
      <c r="BJ73" s="46"/>
      <c r="BK73" s="46"/>
      <c r="BL73" s="46"/>
      <c r="BM73" s="46"/>
      <c r="BN73" s="46"/>
      <c r="BO73" s="46" t="s">
        <v>28</v>
      </c>
      <c r="BP73" s="46" t="s">
        <v>28</v>
      </c>
      <c r="BQ73" s="46"/>
      <c r="BR73" s="46"/>
      <c r="BS73" s="46"/>
      <c r="BT73" s="46" t="s">
        <v>28</v>
      </c>
      <c r="BU73" s="46"/>
      <c r="BV73" s="46"/>
      <c r="BW73" s="46" t="s">
        <v>28</v>
      </c>
      <c r="BX73" s="46"/>
      <c r="BY73" s="46"/>
      <c r="BZ73" s="46"/>
      <c r="CA73" s="46"/>
      <c r="CB73" s="46"/>
      <c r="CC73" s="46" t="s">
        <v>28</v>
      </c>
      <c r="CD73" s="46"/>
      <c r="CE73" s="46"/>
      <c r="CF73" s="46"/>
      <c r="CG73" s="46"/>
      <c r="CH73" s="46"/>
      <c r="CI73" s="46" t="s">
        <v>28</v>
      </c>
      <c r="CJ73" s="46" t="s">
        <v>28</v>
      </c>
      <c r="CK73" s="46"/>
      <c r="CL73" s="46">
        <v>1.0</v>
      </c>
      <c r="CM73" s="46"/>
      <c r="CN73" s="46"/>
      <c r="CO73" s="46"/>
      <c r="CP73" s="46"/>
      <c r="CQ73" s="46"/>
      <c r="CR73" s="46"/>
      <c r="CS73" s="46"/>
      <c r="CT73" s="46">
        <v>1.0</v>
      </c>
      <c r="CU73" s="46">
        <v>1.0</v>
      </c>
      <c r="CV73" s="46"/>
      <c r="CW73" s="46"/>
      <c r="CX73" s="46"/>
      <c r="CY73" s="46">
        <v>1.0</v>
      </c>
      <c r="CZ73" s="46"/>
      <c r="DA73" s="46"/>
      <c r="DB73" s="46">
        <v>1.0</v>
      </c>
      <c r="DC73" s="46"/>
      <c r="DD73" s="46"/>
      <c r="DE73" s="46"/>
      <c r="DF73" s="46"/>
      <c r="DG73" s="46"/>
      <c r="DH73" s="46">
        <v>1.0</v>
      </c>
      <c r="DI73" s="46"/>
      <c r="DJ73" s="46"/>
      <c r="DK73" s="46"/>
      <c r="DL73" s="46"/>
      <c r="DM73" s="46"/>
      <c r="DN73" s="46">
        <v>1.0</v>
      </c>
      <c r="DO73" s="46">
        <v>1.0</v>
      </c>
      <c r="DP73" s="46">
        <v>0.0</v>
      </c>
      <c r="DQ73" s="46">
        <v>0.0</v>
      </c>
      <c r="DR73" s="46">
        <v>0.0</v>
      </c>
      <c r="DS73" s="46">
        <v>0.0</v>
      </c>
      <c r="DT73" s="46">
        <v>0.0</v>
      </c>
      <c r="DU73" s="46">
        <v>0.0</v>
      </c>
      <c r="DV73" s="46">
        <v>0.0</v>
      </c>
      <c r="DW73" s="46">
        <v>0.0</v>
      </c>
      <c r="DX73" s="46">
        <v>0.0</v>
      </c>
      <c r="DY73" s="46">
        <v>0.0</v>
      </c>
      <c r="DZ73" s="46">
        <v>0.0</v>
      </c>
      <c r="EA73" s="46">
        <v>0.0</v>
      </c>
      <c r="EB73" s="46">
        <v>0.0</v>
      </c>
      <c r="EC73" s="46">
        <v>0.0</v>
      </c>
      <c r="ED73" s="46">
        <v>0.0</v>
      </c>
      <c r="EE73" s="46">
        <v>0.0</v>
      </c>
      <c r="EF73" s="46">
        <v>0.0</v>
      </c>
      <c r="EG73" s="46">
        <v>0.0</v>
      </c>
      <c r="EH73" s="46">
        <v>0.0</v>
      </c>
      <c r="EI73" s="46">
        <v>0.0</v>
      </c>
      <c r="EJ73" s="46">
        <v>0.0</v>
      </c>
      <c r="EK73" s="46">
        <v>0.0</v>
      </c>
      <c r="EL73" s="46">
        <v>0.0</v>
      </c>
      <c r="EM73" s="46">
        <v>0.0</v>
      </c>
      <c r="EN73" s="46">
        <v>0.0</v>
      </c>
      <c r="EO73" s="46">
        <v>0.0</v>
      </c>
      <c r="EP73" s="46">
        <v>0.0</v>
      </c>
      <c r="EQ73" s="46">
        <v>0.0</v>
      </c>
      <c r="ER73" s="46">
        <v>0.0</v>
      </c>
      <c r="ES73" s="46">
        <v>0.0</v>
      </c>
      <c r="ET73" s="46">
        <v>0.0</v>
      </c>
      <c r="EU73" s="45" t="s">
        <v>28</v>
      </c>
      <c r="EV73" s="45"/>
    </row>
    <row r="74">
      <c r="A74" s="35">
        <v>44.0</v>
      </c>
      <c r="B74" s="36">
        <v>10274.0</v>
      </c>
      <c r="C74" s="35" t="s">
        <v>103</v>
      </c>
      <c r="D74" s="37"/>
      <c r="E74" s="37"/>
      <c r="F74" s="35" t="s">
        <v>93</v>
      </c>
      <c r="G74" s="38"/>
      <c r="H74" s="38"/>
      <c r="I74" s="38"/>
      <c r="J74" s="38"/>
      <c r="K74" s="38" t="s">
        <v>43</v>
      </c>
      <c r="L74" s="38"/>
      <c r="M74" s="38" t="s">
        <v>43</v>
      </c>
      <c r="N74" s="38"/>
      <c r="O74" s="38"/>
      <c r="P74" s="38"/>
      <c r="Q74" s="38"/>
      <c r="R74" s="38"/>
      <c r="S74" s="38"/>
      <c r="T74" s="38"/>
      <c r="U74" s="38"/>
      <c r="V74" s="38"/>
      <c r="W74" s="38">
        <v>0.5</v>
      </c>
      <c r="X74" s="38"/>
      <c r="Y74" s="38"/>
      <c r="Z74" s="38"/>
      <c r="AA74" s="38"/>
      <c r="AB74" s="38">
        <v>0.5</v>
      </c>
      <c r="AC74" s="38"/>
      <c r="AD74" s="38"/>
      <c r="AE74" s="38">
        <v>0.5</v>
      </c>
      <c r="AF74" s="38"/>
      <c r="AG74" s="38"/>
      <c r="AH74" s="38"/>
      <c r="AI74" s="38"/>
      <c r="AJ74" s="38"/>
      <c r="AK74" s="38"/>
      <c r="AL74" s="39">
        <v>24.0</v>
      </c>
      <c r="AM74" s="39">
        <v>1.5</v>
      </c>
      <c r="AN74" s="39">
        <v>1.5</v>
      </c>
      <c r="AO74" s="39">
        <v>0.0</v>
      </c>
      <c r="AP74" s="39">
        <v>0.0</v>
      </c>
      <c r="AQ74" s="39">
        <v>0.0</v>
      </c>
      <c r="AR74" s="39"/>
      <c r="AS74" s="39">
        <v>2.0</v>
      </c>
      <c r="AT74" s="39">
        <v>0.0</v>
      </c>
      <c r="AU74" s="39">
        <v>0.0</v>
      </c>
      <c r="AV74" s="39">
        <v>0.0</v>
      </c>
      <c r="AW74" s="39">
        <v>0.0</v>
      </c>
      <c r="AX74" s="39">
        <v>0.0</v>
      </c>
      <c r="AY74" s="39">
        <v>0.0</v>
      </c>
      <c r="AZ74" s="39">
        <v>0.0</v>
      </c>
      <c r="BA74" s="39">
        <v>0.0</v>
      </c>
      <c r="BB74" s="39">
        <v>0.0</v>
      </c>
      <c r="BC74" s="39">
        <v>0.0</v>
      </c>
      <c r="BD74" s="39"/>
      <c r="BE74" s="39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 t="s">
        <v>28</v>
      </c>
      <c r="BW74" s="40"/>
      <c r="BX74" s="40"/>
      <c r="BY74" s="40"/>
      <c r="BZ74" s="40"/>
      <c r="CA74" s="40" t="s">
        <v>28</v>
      </c>
      <c r="CB74" s="40"/>
      <c r="CC74" s="40"/>
      <c r="CD74" s="40" t="s">
        <v>28</v>
      </c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>
        <v>1.0</v>
      </c>
      <c r="DB74" s="40"/>
      <c r="DC74" s="40"/>
      <c r="DD74" s="40"/>
      <c r="DE74" s="40"/>
      <c r="DF74" s="40">
        <v>1.0</v>
      </c>
      <c r="DG74" s="40"/>
      <c r="DH74" s="40"/>
      <c r="DI74" s="40">
        <v>1.0</v>
      </c>
      <c r="DJ74" s="40"/>
      <c r="DK74" s="40"/>
      <c r="DL74" s="40"/>
      <c r="DM74" s="40"/>
      <c r="DN74" s="40"/>
      <c r="DO74" s="40"/>
      <c r="DP74" s="40">
        <v>0.0</v>
      </c>
      <c r="DQ74" s="40">
        <v>0.0</v>
      </c>
      <c r="DR74" s="40">
        <v>0.0</v>
      </c>
      <c r="DS74" s="40">
        <v>0.0</v>
      </c>
      <c r="DT74" s="40">
        <v>0.0</v>
      </c>
      <c r="DU74" s="40">
        <v>0.0</v>
      </c>
      <c r="DV74" s="40">
        <v>0.0</v>
      </c>
      <c r="DW74" s="40">
        <v>0.0</v>
      </c>
      <c r="DX74" s="40">
        <v>0.0</v>
      </c>
      <c r="DY74" s="40">
        <v>0.0</v>
      </c>
      <c r="DZ74" s="40">
        <v>0.0</v>
      </c>
      <c r="EA74" s="40">
        <v>0.0</v>
      </c>
      <c r="EB74" s="40">
        <v>0.0</v>
      </c>
      <c r="EC74" s="40">
        <v>0.0</v>
      </c>
      <c r="ED74" s="40">
        <v>0.0</v>
      </c>
      <c r="EE74" s="40">
        <v>0.0</v>
      </c>
      <c r="EF74" s="40">
        <v>0.0</v>
      </c>
      <c r="EG74" s="40">
        <v>0.0</v>
      </c>
      <c r="EH74" s="40">
        <v>0.0</v>
      </c>
      <c r="EI74" s="40">
        <v>0.0</v>
      </c>
      <c r="EJ74" s="40">
        <v>0.0</v>
      </c>
      <c r="EK74" s="40">
        <v>0.0</v>
      </c>
      <c r="EL74" s="40">
        <v>0.0</v>
      </c>
      <c r="EM74" s="40">
        <v>0.0</v>
      </c>
      <c r="EN74" s="40">
        <v>0.0</v>
      </c>
      <c r="EO74" s="40">
        <v>0.0</v>
      </c>
      <c r="EP74" s="40">
        <v>0.0</v>
      </c>
      <c r="EQ74" s="40">
        <v>0.0</v>
      </c>
      <c r="ER74" s="40">
        <v>0.0</v>
      </c>
      <c r="ES74" s="40">
        <v>0.0</v>
      </c>
      <c r="ET74" s="40">
        <v>0.0</v>
      </c>
      <c r="EU74" s="39" t="s">
        <v>28</v>
      </c>
      <c r="EV74" s="39"/>
    </row>
    <row r="75">
      <c r="A75" s="41">
        <v>45.0</v>
      </c>
      <c r="B75" s="42">
        <v>10216.0</v>
      </c>
      <c r="C75" s="41" t="s">
        <v>104</v>
      </c>
      <c r="D75" s="43"/>
      <c r="E75" s="43"/>
      <c r="F75" s="41" t="s">
        <v>93</v>
      </c>
      <c r="G75" s="44">
        <v>0.8604166666666669</v>
      </c>
      <c r="H75" s="44">
        <v>0.6104166666666668</v>
      </c>
      <c r="I75" s="44">
        <v>0.8395833333333336</v>
      </c>
      <c r="J75" s="44">
        <v>0.6333333333333335</v>
      </c>
      <c r="K75" s="44" t="s">
        <v>43</v>
      </c>
      <c r="L75" s="44"/>
      <c r="M75" s="44" t="s">
        <v>43</v>
      </c>
      <c r="N75" s="44"/>
      <c r="O75" s="44"/>
      <c r="P75" s="44">
        <v>0.7145833333333336</v>
      </c>
      <c r="Q75" s="44">
        <v>0.6625000000000001</v>
      </c>
      <c r="R75" s="44">
        <v>0.49166666666666675</v>
      </c>
      <c r="S75" s="44">
        <v>0.45208333333333356</v>
      </c>
      <c r="T75" s="44"/>
      <c r="U75" s="44">
        <v>0.7062500000000002</v>
      </c>
      <c r="V75" s="44">
        <v>0.5708333333333336</v>
      </c>
      <c r="W75" s="44">
        <v>0.7583333333333336</v>
      </c>
      <c r="X75" s="44">
        <v>0.9250000000000003</v>
      </c>
      <c r="Y75" s="44">
        <v>0.8687500000000002</v>
      </c>
      <c r="Z75" s="44"/>
      <c r="AA75" s="44"/>
      <c r="AB75" s="44">
        <v>1.0000000000000002</v>
      </c>
      <c r="AC75" s="44">
        <v>0.7708333333333336</v>
      </c>
      <c r="AD75" s="44">
        <v>0.9187500000000002</v>
      </c>
      <c r="AE75" s="44">
        <v>0.98125</v>
      </c>
      <c r="AF75" s="44">
        <v>0.7770833333333336</v>
      </c>
      <c r="AG75" s="44">
        <v>0.5</v>
      </c>
      <c r="AH75" s="44"/>
      <c r="AI75" s="44">
        <v>0.8645833333333336</v>
      </c>
      <c r="AJ75" s="44">
        <v>0.7687500000000003</v>
      </c>
      <c r="AK75" s="44">
        <v>0.5937500000000002</v>
      </c>
      <c r="AL75" s="45">
        <v>24.0</v>
      </c>
      <c r="AM75" s="45">
        <v>16.268750000000008</v>
      </c>
      <c r="AN75" s="45">
        <v>16.268750000000008</v>
      </c>
      <c r="AO75" s="45">
        <v>0.0</v>
      </c>
      <c r="AP75" s="45">
        <v>0.0</v>
      </c>
      <c r="AQ75" s="45">
        <v>0.0</v>
      </c>
      <c r="AR75" s="45"/>
      <c r="AS75" s="45">
        <v>2.0</v>
      </c>
      <c r="AT75" s="45">
        <v>0.0</v>
      </c>
      <c r="AU75" s="45">
        <v>0.0</v>
      </c>
      <c r="AV75" s="45">
        <v>0.0</v>
      </c>
      <c r="AW75" s="45">
        <v>0.0</v>
      </c>
      <c r="AX75" s="45">
        <v>0.0</v>
      </c>
      <c r="AY75" s="45">
        <v>0.0</v>
      </c>
      <c r="AZ75" s="45">
        <v>0.0</v>
      </c>
      <c r="BA75" s="45">
        <v>0.0</v>
      </c>
      <c r="BB75" s="45">
        <v>0.0</v>
      </c>
      <c r="BC75" s="45">
        <v>0.0</v>
      </c>
      <c r="BD75" s="45"/>
      <c r="BE75" s="45"/>
      <c r="BF75" s="46">
        <v>0.0</v>
      </c>
      <c r="BG75" s="46">
        <v>0.0</v>
      </c>
      <c r="BH75" s="46">
        <v>0.0</v>
      </c>
      <c r="BI75" s="46">
        <v>0.0</v>
      </c>
      <c r="BJ75" s="46"/>
      <c r="BK75" s="46"/>
      <c r="BL75" s="46"/>
      <c r="BM75" s="46"/>
      <c r="BN75" s="46"/>
      <c r="BO75" s="46">
        <v>0.0</v>
      </c>
      <c r="BP75" s="46">
        <v>0.0</v>
      </c>
      <c r="BQ75" s="46">
        <v>0.0</v>
      </c>
      <c r="BR75" s="46">
        <v>0.0</v>
      </c>
      <c r="BS75" s="46"/>
      <c r="BT75" s="46">
        <v>0.0</v>
      </c>
      <c r="BU75" s="46">
        <v>0.0</v>
      </c>
      <c r="BV75" s="46">
        <v>0.0</v>
      </c>
      <c r="BW75" s="46">
        <v>0.0</v>
      </c>
      <c r="BX75" s="46">
        <v>0.0</v>
      </c>
      <c r="BY75" s="46"/>
      <c r="BZ75" s="46"/>
      <c r="CA75" s="46">
        <v>0.0</v>
      </c>
      <c r="CB75" s="46">
        <v>0.0</v>
      </c>
      <c r="CC75" s="46">
        <v>0.0</v>
      </c>
      <c r="CD75" s="46">
        <v>0.0</v>
      </c>
      <c r="CE75" s="46">
        <v>0.0</v>
      </c>
      <c r="CF75" s="46" t="s">
        <v>28</v>
      </c>
      <c r="CG75" s="46"/>
      <c r="CH75" s="46">
        <v>0.0</v>
      </c>
      <c r="CI75" s="46">
        <v>0.0</v>
      </c>
      <c r="CJ75" s="46">
        <v>0.0</v>
      </c>
      <c r="CK75" s="46">
        <v>0.0</v>
      </c>
      <c r="CL75" s="46">
        <v>0.0</v>
      </c>
      <c r="CM75" s="46">
        <v>0.0</v>
      </c>
      <c r="CN75" s="46">
        <v>0.0</v>
      </c>
      <c r="CO75" s="46"/>
      <c r="CP75" s="46"/>
      <c r="CQ75" s="46"/>
      <c r="CR75" s="46"/>
      <c r="CS75" s="46"/>
      <c r="CT75" s="46">
        <v>0.0</v>
      </c>
      <c r="CU75" s="46">
        <v>0.0</v>
      </c>
      <c r="CV75" s="46">
        <v>0.0</v>
      </c>
      <c r="CW75" s="46">
        <v>0.0</v>
      </c>
      <c r="CX75" s="46"/>
      <c r="CY75" s="46">
        <v>0.0</v>
      </c>
      <c r="CZ75" s="46">
        <v>0.0</v>
      </c>
      <c r="DA75" s="46">
        <v>0.0</v>
      </c>
      <c r="DB75" s="46">
        <v>0.0</v>
      </c>
      <c r="DC75" s="46">
        <v>0.0</v>
      </c>
      <c r="DD75" s="46"/>
      <c r="DE75" s="46"/>
      <c r="DF75" s="46">
        <v>0.0</v>
      </c>
      <c r="DG75" s="46">
        <v>0.0</v>
      </c>
      <c r="DH75" s="46">
        <v>0.0</v>
      </c>
      <c r="DI75" s="46">
        <v>0.0</v>
      </c>
      <c r="DJ75" s="46">
        <v>0.0</v>
      </c>
      <c r="DK75" s="46">
        <v>1.0</v>
      </c>
      <c r="DL75" s="46"/>
      <c r="DM75" s="46">
        <v>0.0</v>
      </c>
      <c r="DN75" s="46">
        <v>0.0</v>
      </c>
      <c r="DO75" s="46">
        <v>0.0</v>
      </c>
      <c r="DP75" s="46">
        <v>0.0</v>
      </c>
      <c r="DQ75" s="46">
        <v>0.0</v>
      </c>
      <c r="DR75" s="46">
        <v>0.0</v>
      </c>
      <c r="DS75" s="46">
        <v>0.0</v>
      </c>
      <c r="DT75" s="46">
        <v>0.0</v>
      </c>
      <c r="DU75" s="46">
        <v>0.0</v>
      </c>
      <c r="DV75" s="46">
        <v>0.0</v>
      </c>
      <c r="DW75" s="46">
        <v>0.0</v>
      </c>
      <c r="DX75" s="46">
        <v>0.0</v>
      </c>
      <c r="DY75" s="46">
        <v>0.0</v>
      </c>
      <c r="DZ75" s="46">
        <v>0.0</v>
      </c>
      <c r="EA75" s="46">
        <v>0.0</v>
      </c>
      <c r="EB75" s="46">
        <v>0.0</v>
      </c>
      <c r="EC75" s="46">
        <v>0.0</v>
      </c>
      <c r="ED75" s="46">
        <v>0.0</v>
      </c>
      <c r="EE75" s="46">
        <v>0.0</v>
      </c>
      <c r="EF75" s="46">
        <v>0.0</v>
      </c>
      <c r="EG75" s="46">
        <v>0.0</v>
      </c>
      <c r="EH75" s="46">
        <v>0.0</v>
      </c>
      <c r="EI75" s="46">
        <v>0.0</v>
      </c>
      <c r="EJ75" s="46">
        <v>0.0</v>
      </c>
      <c r="EK75" s="46">
        <v>0.0</v>
      </c>
      <c r="EL75" s="46">
        <v>0.0</v>
      </c>
      <c r="EM75" s="46">
        <v>0.0</v>
      </c>
      <c r="EN75" s="46">
        <v>0.0</v>
      </c>
      <c r="EO75" s="46">
        <v>0.0</v>
      </c>
      <c r="EP75" s="46">
        <v>0.0</v>
      </c>
      <c r="EQ75" s="46">
        <v>0.0</v>
      </c>
      <c r="ER75" s="46">
        <v>0.0</v>
      </c>
      <c r="ES75" s="46">
        <v>0.0</v>
      </c>
      <c r="ET75" s="46">
        <v>0.0</v>
      </c>
      <c r="EU75" s="45" t="s">
        <v>28</v>
      </c>
      <c r="EV75" s="45"/>
    </row>
    <row r="76">
      <c r="A76" s="35">
        <v>46.0</v>
      </c>
      <c r="B76" s="36">
        <v>10379.0</v>
      </c>
      <c r="C76" s="35" t="s">
        <v>105</v>
      </c>
      <c r="D76" s="37"/>
      <c r="E76" s="37"/>
      <c r="F76" s="35" t="s">
        <v>93</v>
      </c>
      <c r="G76" s="38"/>
      <c r="H76" s="38"/>
      <c r="I76" s="38"/>
      <c r="J76" s="38"/>
      <c r="K76" s="38" t="s">
        <v>43</v>
      </c>
      <c r="L76" s="38"/>
      <c r="M76" s="38" t="s">
        <v>43</v>
      </c>
      <c r="N76" s="38"/>
      <c r="O76" s="38"/>
      <c r="P76" s="38"/>
      <c r="Q76" s="38"/>
      <c r="R76" s="38"/>
      <c r="S76" s="38"/>
      <c r="T76" s="38"/>
      <c r="U76" s="38">
        <v>0.7604166666666667</v>
      </c>
      <c r="V76" s="38"/>
      <c r="W76" s="38"/>
      <c r="X76" s="38"/>
      <c r="Y76" s="38"/>
      <c r="Z76" s="38"/>
      <c r="AA76" s="38"/>
      <c r="AB76" s="38">
        <v>0.9583333333333334</v>
      </c>
      <c r="AC76" s="38"/>
      <c r="AD76" s="38"/>
      <c r="AE76" s="38"/>
      <c r="AF76" s="38"/>
      <c r="AG76" s="38"/>
      <c r="AH76" s="38"/>
      <c r="AI76" s="38">
        <v>0.6604166666666669</v>
      </c>
      <c r="AJ76" s="38"/>
      <c r="AK76" s="38"/>
      <c r="AL76" s="39">
        <v>24.0</v>
      </c>
      <c r="AM76" s="39">
        <v>2.379166666666667</v>
      </c>
      <c r="AN76" s="39">
        <v>2.379166666666667</v>
      </c>
      <c r="AO76" s="39">
        <v>0.0</v>
      </c>
      <c r="AP76" s="39">
        <v>0.0</v>
      </c>
      <c r="AQ76" s="39">
        <v>0.0</v>
      </c>
      <c r="AR76" s="39"/>
      <c r="AS76" s="39">
        <v>2.0</v>
      </c>
      <c r="AT76" s="39">
        <v>0.0</v>
      </c>
      <c r="AU76" s="39">
        <v>0.0</v>
      </c>
      <c r="AV76" s="39">
        <v>0.0</v>
      </c>
      <c r="AW76" s="39">
        <v>0.0</v>
      </c>
      <c r="AX76" s="39">
        <v>0.0</v>
      </c>
      <c r="AY76" s="39">
        <v>0.0</v>
      </c>
      <c r="AZ76" s="39">
        <v>0.0</v>
      </c>
      <c r="BA76" s="39">
        <v>0.0</v>
      </c>
      <c r="BB76" s="39">
        <v>0.0</v>
      </c>
      <c r="BC76" s="39">
        <v>0.0</v>
      </c>
      <c r="BD76" s="39"/>
      <c r="BE76" s="39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>
        <v>0.0</v>
      </c>
      <c r="BU76" s="40"/>
      <c r="BV76" s="40"/>
      <c r="BW76" s="40"/>
      <c r="BX76" s="40"/>
      <c r="BY76" s="40"/>
      <c r="BZ76" s="40"/>
      <c r="CA76" s="40">
        <v>0.0</v>
      </c>
      <c r="CB76" s="40"/>
      <c r="CC76" s="40"/>
      <c r="CD76" s="40"/>
      <c r="CE76" s="40"/>
      <c r="CF76" s="40"/>
      <c r="CG76" s="40"/>
      <c r="CH76" s="40">
        <v>0.0</v>
      </c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>
        <v>0.0</v>
      </c>
      <c r="CZ76" s="40"/>
      <c r="DA76" s="40"/>
      <c r="DB76" s="40"/>
      <c r="DC76" s="40"/>
      <c r="DD76" s="40"/>
      <c r="DE76" s="40"/>
      <c r="DF76" s="40">
        <v>0.0</v>
      </c>
      <c r="DG76" s="40"/>
      <c r="DH76" s="40"/>
      <c r="DI76" s="40"/>
      <c r="DJ76" s="40"/>
      <c r="DK76" s="40"/>
      <c r="DL76" s="40"/>
      <c r="DM76" s="40">
        <v>0.0</v>
      </c>
      <c r="DN76" s="40"/>
      <c r="DO76" s="40"/>
      <c r="DP76" s="40">
        <v>0.0</v>
      </c>
      <c r="DQ76" s="40">
        <v>0.0</v>
      </c>
      <c r="DR76" s="40">
        <v>0.0</v>
      </c>
      <c r="DS76" s="40">
        <v>0.0</v>
      </c>
      <c r="DT76" s="40">
        <v>0.0</v>
      </c>
      <c r="DU76" s="40">
        <v>0.0</v>
      </c>
      <c r="DV76" s="40">
        <v>0.0</v>
      </c>
      <c r="DW76" s="40">
        <v>0.0</v>
      </c>
      <c r="DX76" s="40">
        <v>0.0</v>
      </c>
      <c r="DY76" s="40">
        <v>0.0</v>
      </c>
      <c r="DZ76" s="40">
        <v>0.0</v>
      </c>
      <c r="EA76" s="40">
        <v>0.0</v>
      </c>
      <c r="EB76" s="40">
        <v>0.0</v>
      </c>
      <c r="EC76" s="40">
        <v>0.0</v>
      </c>
      <c r="ED76" s="40">
        <v>0.0</v>
      </c>
      <c r="EE76" s="40">
        <v>0.0</v>
      </c>
      <c r="EF76" s="40">
        <v>0.0</v>
      </c>
      <c r="EG76" s="40">
        <v>0.0</v>
      </c>
      <c r="EH76" s="40">
        <v>0.0</v>
      </c>
      <c r="EI76" s="40">
        <v>0.0</v>
      </c>
      <c r="EJ76" s="40">
        <v>0.0</v>
      </c>
      <c r="EK76" s="40">
        <v>0.0</v>
      </c>
      <c r="EL76" s="40">
        <v>0.0</v>
      </c>
      <c r="EM76" s="40">
        <v>0.0</v>
      </c>
      <c r="EN76" s="40">
        <v>0.0</v>
      </c>
      <c r="EO76" s="40">
        <v>0.0</v>
      </c>
      <c r="EP76" s="40">
        <v>0.0</v>
      </c>
      <c r="EQ76" s="40">
        <v>0.0</v>
      </c>
      <c r="ER76" s="40">
        <v>0.0</v>
      </c>
      <c r="ES76" s="40">
        <v>0.0</v>
      </c>
      <c r="ET76" s="40">
        <v>0.0</v>
      </c>
      <c r="EU76" s="39" t="s">
        <v>28</v>
      </c>
      <c r="EV76" s="39"/>
    </row>
    <row r="77">
      <c r="A77" s="41">
        <v>47.0</v>
      </c>
      <c r="B77" s="42">
        <v>10202.0</v>
      </c>
      <c r="C77" s="41" t="s">
        <v>106</v>
      </c>
      <c r="D77" s="43"/>
      <c r="E77" s="43"/>
      <c r="F77" s="41" t="s">
        <v>93</v>
      </c>
      <c r="G77" s="44"/>
      <c r="H77" s="44"/>
      <c r="I77" s="44"/>
      <c r="J77" s="44"/>
      <c r="K77" s="44" t="s">
        <v>43</v>
      </c>
      <c r="L77" s="44"/>
      <c r="M77" s="44" t="s">
        <v>43</v>
      </c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5">
        <v>24.0</v>
      </c>
      <c r="AM77" s="45">
        <v>0.0</v>
      </c>
      <c r="AN77" s="45">
        <v>0.0</v>
      </c>
      <c r="AO77" s="45">
        <v>0.0</v>
      </c>
      <c r="AP77" s="45">
        <v>0.0</v>
      </c>
      <c r="AQ77" s="45">
        <v>0.0</v>
      </c>
      <c r="AR77" s="45"/>
      <c r="AS77" s="45">
        <v>2.0</v>
      </c>
      <c r="AT77" s="45">
        <v>0.0</v>
      </c>
      <c r="AU77" s="45">
        <v>0.0</v>
      </c>
      <c r="AV77" s="45">
        <v>0.0</v>
      </c>
      <c r="AW77" s="45">
        <v>0.0</v>
      </c>
      <c r="AX77" s="45">
        <v>0.0</v>
      </c>
      <c r="AY77" s="45">
        <v>0.0</v>
      </c>
      <c r="AZ77" s="45">
        <v>0.0</v>
      </c>
      <c r="BA77" s="45">
        <v>0.0</v>
      </c>
      <c r="BB77" s="45">
        <v>0.0</v>
      </c>
      <c r="BC77" s="45">
        <v>0.0</v>
      </c>
      <c r="BD77" s="45"/>
      <c r="BE77" s="45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>
        <v>0.0</v>
      </c>
      <c r="DQ77" s="46">
        <v>0.0</v>
      </c>
      <c r="DR77" s="46">
        <v>0.0</v>
      </c>
      <c r="DS77" s="46">
        <v>0.0</v>
      </c>
      <c r="DT77" s="46">
        <v>0.0</v>
      </c>
      <c r="DU77" s="46">
        <v>0.0</v>
      </c>
      <c r="DV77" s="46">
        <v>0.0</v>
      </c>
      <c r="DW77" s="46">
        <v>0.0</v>
      </c>
      <c r="DX77" s="46">
        <v>0.0</v>
      </c>
      <c r="DY77" s="46">
        <v>0.0</v>
      </c>
      <c r="DZ77" s="46">
        <v>0.0</v>
      </c>
      <c r="EA77" s="46">
        <v>0.0</v>
      </c>
      <c r="EB77" s="46">
        <v>0.0</v>
      </c>
      <c r="EC77" s="46">
        <v>0.0</v>
      </c>
      <c r="ED77" s="46">
        <v>0.0</v>
      </c>
      <c r="EE77" s="46">
        <v>0.0</v>
      </c>
      <c r="EF77" s="46">
        <v>0.0</v>
      </c>
      <c r="EG77" s="46">
        <v>0.0</v>
      </c>
      <c r="EH77" s="46">
        <v>0.0</v>
      </c>
      <c r="EI77" s="46">
        <v>0.0</v>
      </c>
      <c r="EJ77" s="46">
        <v>0.0</v>
      </c>
      <c r="EK77" s="46">
        <v>0.0</v>
      </c>
      <c r="EL77" s="46">
        <v>0.0</v>
      </c>
      <c r="EM77" s="46">
        <v>0.0</v>
      </c>
      <c r="EN77" s="46">
        <v>0.0</v>
      </c>
      <c r="EO77" s="46">
        <v>0.0</v>
      </c>
      <c r="EP77" s="46">
        <v>0.0</v>
      </c>
      <c r="EQ77" s="46">
        <v>0.0</v>
      </c>
      <c r="ER77" s="46">
        <v>0.0</v>
      </c>
      <c r="ES77" s="46">
        <v>0.0</v>
      </c>
      <c r="ET77" s="46">
        <v>0.0</v>
      </c>
      <c r="EU77" s="45" t="s">
        <v>28</v>
      </c>
      <c r="EV77" s="45"/>
    </row>
    <row r="78">
      <c r="A78" s="35">
        <v>48.0</v>
      </c>
      <c r="B78" s="36">
        <v>10284.0</v>
      </c>
      <c r="C78" s="35" t="s">
        <v>107</v>
      </c>
      <c r="D78" s="37"/>
      <c r="E78" s="37"/>
      <c r="F78" s="35" t="s">
        <v>93</v>
      </c>
      <c r="G78" s="38"/>
      <c r="H78" s="38"/>
      <c r="I78" s="38"/>
      <c r="J78" s="38"/>
      <c r="K78" s="38" t="s">
        <v>43</v>
      </c>
      <c r="L78" s="38"/>
      <c r="M78" s="38" t="s">
        <v>43</v>
      </c>
      <c r="N78" s="38"/>
      <c r="O78" s="38"/>
      <c r="P78" s="38"/>
      <c r="Q78" s="38"/>
      <c r="R78" s="38">
        <v>0.5</v>
      </c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>
        <v>0.5</v>
      </c>
      <c r="AK78" s="38"/>
      <c r="AL78" s="39">
        <v>24.0</v>
      </c>
      <c r="AM78" s="39">
        <v>1.0</v>
      </c>
      <c r="AN78" s="39">
        <v>1.0</v>
      </c>
      <c r="AO78" s="39">
        <v>0.0</v>
      </c>
      <c r="AP78" s="39">
        <v>0.0</v>
      </c>
      <c r="AQ78" s="39">
        <v>0.0</v>
      </c>
      <c r="AR78" s="39"/>
      <c r="AS78" s="39">
        <v>2.0</v>
      </c>
      <c r="AT78" s="39">
        <v>0.0</v>
      </c>
      <c r="AU78" s="39">
        <v>0.0</v>
      </c>
      <c r="AV78" s="39">
        <v>0.0</v>
      </c>
      <c r="AW78" s="39">
        <v>0.0</v>
      </c>
      <c r="AX78" s="39">
        <v>0.0</v>
      </c>
      <c r="AY78" s="39">
        <v>0.0</v>
      </c>
      <c r="AZ78" s="39">
        <v>0.0</v>
      </c>
      <c r="BA78" s="39">
        <v>0.0</v>
      </c>
      <c r="BB78" s="39">
        <v>0.0</v>
      </c>
      <c r="BC78" s="39">
        <v>0.0</v>
      </c>
      <c r="BD78" s="39"/>
      <c r="BE78" s="39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 t="s">
        <v>28</v>
      </c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 t="s">
        <v>28</v>
      </c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>
        <v>1.0</v>
      </c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>
        <v>1.0</v>
      </c>
      <c r="DO78" s="40"/>
      <c r="DP78" s="40">
        <v>0.0</v>
      </c>
      <c r="DQ78" s="40">
        <v>0.0</v>
      </c>
      <c r="DR78" s="40">
        <v>0.0</v>
      </c>
      <c r="DS78" s="40">
        <v>0.0</v>
      </c>
      <c r="DT78" s="40">
        <v>0.0</v>
      </c>
      <c r="DU78" s="40">
        <v>0.0</v>
      </c>
      <c r="DV78" s="40">
        <v>0.0</v>
      </c>
      <c r="DW78" s="40">
        <v>0.0</v>
      </c>
      <c r="DX78" s="40">
        <v>0.0</v>
      </c>
      <c r="DY78" s="40">
        <v>0.0</v>
      </c>
      <c r="DZ78" s="40">
        <v>0.0</v>
      </c>
      <c r="EA78" s="40">
        <v>0.0</v>
      </c>
      <c r="EB78" s="40">
        <v>0.0</v>
      </c>
      <c r="EC78" s="40">
        <v>0.0</v>
      </c>
      <c r="ED78" s="40">
        <v>0.0</v>
      </c>
      <c r="EE78" s="40">
        <v>0.0</v>
      </c>
      <c r="EF78" s="40">
        <v>0.0</v>
      </c>
      <c r="EG78" s="40">
        <v>0.0</v>
      </c>
      <c r="EH78" s="40">
        <v>0.0</v>
      </c>
      <c r="EI78" s="40">
        <v>0.0</v>
      </c>
      <c r="EJ78" s="40">
        <v>0.0</v>
      </c>
      <c r="EK78" s="40">
        <v>0.0</v>
      </c>
      <c r="EL78" s="40">
        <v>0.0</v>
      </c>
      <c r="EM78" s="40">
        <v>0.0</v>
      </c>
      <c r="EN78" s="40">
        <v>0.0</v>
      </c>
      <c r="EO78" s="40">
        <v>0.0</v>
      </c>
      <c r="EP78" s="40">
        <v>0.0</v>
      </c>
      <c r="EQ78" s="40">
        <v>0.0</v>
      </c>
      <c r="ER78" s="40">
        <v>0.0</v>
      </c>
      <c r="ES78" s="40">
        <v>0.0</v>
      </c>
      <c r="ET78" s="40">
        <v>0.0</v>
      </c>
      <c r="EU78" s="39" t="s">
        <v>28</v>
      </c>
      <c r="EV78" s="39"/>
    </row>
    <row r="79">
      <c r="A79" s="41">
        <v>49.0</v>
      </c>
      <c r="B79" s="42">
        <v>10388.0</v>
      </c>
      <c r="C79" s="41" t="s">
        <v>108</v>
      </c>
      <c r="D79" s="43"/>
      <c r="E79" s="43"/>
      <c r="F79" s="41" t="s">
        <v>93</v>
      </c>
      <c r="G79" s="44"/>
      <c r="H79" s="44">
        <v>0.5</v>
      </c>
      <c r="I79" s="44">
        <v>0.5000000000000002</v>
      </c>
      <c r="J79" s="44">
        <v>0.6812500000000001</v>
      </c>
      <c r="K79" s="44" t="s">
        <v>43</v>
      </c>
      <c r="L79" s="44"/>
      <c r="M79" s="44" t="s">
        <v>43</v>
      </c>
      <c r="N79" s="44"/>
      <c r="O79" s="44"/>
      <c r="P79" s="44"/>
      <c r="Q79" s="44">
        <v>0.6770833333333336</v>
      </c>
      <c r="R79" s="44"/>
      <c r="S79" s="44"/>
      <c r="T79" s="44"/>
      <c r="U79" s="44">
        <v>0.7979166666666668</v>
      </c>
      <c r="V79" s="44">
        <v>0.5</v>
      </c>
      <c r="W79" s="44"/>
      <c r="X79" s="44">
        <v>0.6604166666666667</v>
      </c>
      <c r="Y79" s="44"/>
      <c r="Z79" s="44"/>
      <c r="AA79" s="44"/>
      <c r="AB79" s="44">
        <v>0.8937500000000002</v>
      </c>
      <c r="AC79" s="44">
        <v>0.5</v>
      </c>
      <c r="AD79" s="44"/>
      <c r="AE79" s="44">
        <v>0.5</v>
      </c>
      <c r="AF79" s="44"/>
      <c r="AG79" s="44"/>
      <c r="AH79" s="44"/>
      <c r="AI79" s="44">
        <v>0.83125</v>
      </c>
      <c r="AJ79" s="44"/>
      <c r="AK79" s="44"/>
      <c r="AL79" s="45">
        <v>24.0</v>
      </c>
      <c r="AM79" s="45">
        <v>7.041666666666667</v>
      </c>
      <c r="AN79" s="45">
        <v>7.041666666666667</v>
      </c>
      <c r="AO79" s="45">
        <v>0.0</v>
      </c>
      <c r="AP79" s="45">
        <v>0.0</v>
      </c>
      <c r="AQ79" s="45">
        <v>0.0</v>
      </c>
      <c r="AR79" s="45"/>
      <c r="AS79" s="45">
        <v>2.0</v>
      </c>
      <c r="AT79" s="45">
        <v>0.0</v>
      </c>
      <c r="AU79" s="45">
        <v>0.0</v>
      </c>
      <c r="AV79" s="45">
        <v>0.0</v>
      </c>
      <c r="AW79" s="45">
        <v>0.0</v>
      </c>
      <c r="AX79" s="45">
        <v>0.0</v>
      </c>
      <c r="AY79" s="45">
        <v>0.0</v>
      </c>
      <c r="AZ79" s="45">
        <v>0.0</v>
      </c>
      <c r="BA79" s="45">
        <v>0.0</v>
      </c>
      <c r="BB79" s="45">
        <v>0.0</v>
      </c>
      <c r="BC79" s="45">
        <v>0.0</v>
      </c>
      <c r="BD79" s="45"/>
      <c r="BE79" s="45"/>
      <c r="BF79" s="46"/>
      <c r="BG79" s="46" t="s">
        <v>28</v>
      </c>
      <c r="BH79" s="46">
        <v>0.0</v>
      </c>
      <c r="BI79" s="46">
        <v>0.0</v>
      </c>
      <c r="BJ79" s="46"/>
      <c r="BK79" s="46"/>
      <c r="BL79" s="46"/>
      <c r="BM79" s="46"/>
      <c r="BN79" s="46"/>
      <c r="BO79" s="46"/>
      <c r="BP79" s="46">
        <v>0.0</v>
      </c>
      <c r="BQ79" s="46"/>
      <c r="BR79" s="46"/>
      <c r="BS79" s="46"/>
      <c r="BT79" s="46">
        <v>0.0</v>
      </c>
      <c r="BU79" s="46" t="s">
        <v>28</v>
      </c>
      <c r="BV79" s="46"/>
      <c r="BW79" s="46">
        <v>0.0</v>
      </c>
      <c r="BX79" s="46"/>
      <c r="BY79" s="46"/>
      <c r="BZ79" s="46"/>
      <c r="CA79" s="46">
        <v>0.0</v>
      </c>
      <c r="CB79" s="46" t="s">
        <v>28</v>
      </c>
      <c r="CC79" s="46"/>
      <c r="CD79" s="46" t="s">
        <v>28</v>
      </c>
      <c r="CE79" s="46"/>
      <c r="CF79" s="46"/>
      <c r="CG79" s="46"/>
      <c r="CH79" s="46">
        <v>0.0</v>
      </c>
      <c r="CI79" s="46"/>
      <c r="CJ79" s="46"/>
      <c r="CK79" s="46"/>
      <c r="CL79" s="46">
        <v>1.0</v>
      </c>
      <c r="CM79" s="46">
        <v>0.0</v>
      </c>
      <c r="CN79" s="46">
        <v>0.0</v>
      </c>
      <c r="CO79" s="46"/>
      <c r="CP79" s="46"/>
      <c r="CQ79" s="46"/>
      <c r="CR79" s="46"/>
      <c r="CS79" s="46"/>
      <c r="CT79" s="46"/>
      <c r="CU79" s="46">
        <v>0.0</v>
      </c>
      <c r="CV79" s="46"/>
      <c r="CW79" s="46"/>
      <c r="CX79" s="46"/>
      <c r="CY79" s="46">
        <v>0.0</v>
      </c>
      <c r="CZ79" s="46">
        <v>1.0</v>
      </c>
      <c r="DA79" s="46"/>
      <c r="DB79" s="46">
        <v>0.0</v>
      </c>
      <c r="DC79" s="46"/>
      <c r="DD79" s="46"/>
      <c r="DE79" s="46"/>
      <c r="DF79" s="46">
        <v>0.0</v>
      </c>
      <c r="DG79" s="46">
        <v>1.0</v>
      </c>
      <c r="DH79" s="46"/>
      <c r="DI79" s="46">
        <v>1.0</v>
      </c>
      <c r="DJ79" s="46"/>
      <c r="DK79" s="46"/>
      <c r="DL79" s="46"/>
      <c r="DM79" s="46">
        <v>0.0</v>
      </c>
      <c r="DN79" s="46"/>
      <c r="DO79" s="46"/>
      <c r="DP79" s="46">
        <v>0.0</v>
      </c>
      <c r="DQ79" s="46">
        <v>0.0</v>
      </c>
      <c r="DR79" s="46">
        <v>0.0</v>
      </c>
      <c r="DS79" s="46">
        <v>0.0</v>
      </c>
      <c r="DT79" s="46">
        <v>0.0</v>
      </c>
      <c r="DU79" s="46">
        <v>0.0</v>
      </c>
      <c r="DV79" s="46">
        <v>0.0</v>
      </c>
      <c r="DW79" s="46">
        <v>0.0</v>
      </c>
      <c r="DX79" s="46">
        <v>0.0</v>
      </c>
      <c r="DY79" s="46">
        <v>0.0</v>
      </c>
      <c r="DZ79" s="46">
        <v>0.0</v>
      </c>
      <c r="EA79" s="46">
        <v>0.0</v>
      </c>
      <c r="EB79" s="46">
        <v>0.0</v>
      </c>
      <c r="EC79" s="46">
        <v>0.0</v>
      </c>
      <c r="ED79" s="46">
        <v>0.0</v>
      </c>
      <c r="EE79" s="46">
        <v>0.0</v>
      </c>
      <c r="EF79" s="46">
        <v>0.0</v>
      </c>
      <c r="EG79" s="46">
        <v>0.0</v>
      </c>
      <c r="EH79" s="46">
        <v>0.0</v>
      </c>
      <c r="EI79" s="46">
        <v>0.0</v>
      </c>
      <c r="EJ79" s="46">
        <v>0.0</v>
      </c>
      <c r="EK79" s="46">
        <v>0.0</v>
      </c>
      <c r="EL79" s="46">
        <v>0.0</v>
      </c>
      <c r="EM79" s="46">
        <v>0.0</v>
      </c>
      <c r="EN79" s="46">
        <v>0.0</v>
      </c>
      <c r="EO79" s="46">
        <v>0.0</v>
      </c>
      <c r="EP79" s="46">
        <v>0.0</v>
      </c>
      <c r="EQ79" s="46">
        <v>0.0</v>
      </c>
      <c r="ER79" s="46">
        <v>0.0</v>
      </c>
      <c r="ES79" s="46">
        <v>0.0</v>
      </c>
      <c r="ET79" s="46">
        <v>0.0</v>
      </c>
      <c r="EU79" s="45" t="s">
        <v>28</v>
      </c>
      <c r="EV79" s="45"/>
    </row>
    <row r="80" hidden="1">
      <c r="A80" s="37"/>
      <c r="B80" s="51"/>
      <c r="C80" s="37"/>
      <c r="D80" s="37"/>
      <c r="E80" s="37"/>
      <c r="F80" s="37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9">
        <v>24.0</v>
      </c>
      <c r="AM80" s="39">
        <v>0.0</v>
      </c>
      <c r="AN80" s="39">
        <v>0.0</v>
      </c>
      <c r="AO80" s="39">
        <v>0.0</v>
      </c>
      <c r="AP80" s="39">
        <v>0.0</v>
      </c>
      <c r="AQ80" s="39">
        <v>0.0</v>
      </c>
      <c r="AR80" s="39"/>
      <c r="AS80" s="39">
        <v>2.0</v>
      </c>
      <c r="AT80" s="39">
        <v>0.0</v>
      </c>
      <c r="AU80" s="39">
        <v>0.0</v>
      </c>
      <c r="AV80" s="39">
        <v>0.0</v>
      </c>
      <c r="AW80" s="39">
        <v>0.0</v>
      </c>
      <c r="AX80" s="39">
        <v>0.0</v>
      </c>
      <c r="AY80" s="39">
        <v>0.0</v>
      </c>
      <c r="AZ80" s="39">
        <v>0.0</v>
      </c>
      <c r="BA80" s="39">
        <v>0.0</v>
      </c>
      <c r="BB80" s="39">
        <v>0.0</v>
      </c>
      <c r="BC80" s="39">
        <v>0.0</v>
      </c>
      <c r="BD80" s="39"/>
      <c r="BE80" s="39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>
        <v>0.0</v>
      </c>
      <c r="DQ80" s="40">
        <v>0.0</v>
      </c>
      <c r="DR80" s="40">
        <v>0.0</v>
      </c>
      <c r="DS80" s="40">
        <v>0.0</v>
      </c>
      <c r="DT80" s="40">
        <v>0.0</v>
      </c>
      <c r="DU80" s="40">
        <v>0.0</v>
      </c>
      <c r="DV80" s="40">
        <v>0.0</v>
      </c>
      <c r="DW80" s="40">
        <v>0.0</v>
      </c>
      <c r="DX80" s="40">
        <v>0.0</v>
      </c>
      <c r="DY80" s="40">
        <v>0.0</v>
      </c>
      <c r="DZ80" s="40">
        <v>0.0</v>
      </c>
      <c r="EA80" s="40">
        <v>0.0</v>
      </c>
      <c r="EB80" s="40">
        <v>0.0</v>
      </c>
      <c r="EC80" s="40">
        <v>0.0</v>
      </c>
      <c r="ED80" s="40">
        <v>0.0</v>
      </c>
      <c r="EE80" s="40">
        <v>0.0</v>
      </c>
      <c r="EF80" s="40">
        <v>0.0</v>
      </c>
      <c r="EG80" s="40">
        <v>0.0</v>
      </c>
      <c r="EH80" s="40">
        <v>0.0</v>
      </c>
      <c r="EI80" s="40">
        <v>0.0</v>
      </c>
      <c r="EJ80" s="40">
        <v>0.0</v>
      </c>
      <c r="EK80" s="40">
        <v>0.0</v>
      </c>
      <c r="EL80" s="40">
        <v>0.0</v>
      </c>
      <c r="EM80" s="40">
        <v>0.0</v>
      </c>
      <c r="EN80" s="40">
        <v>0.0</v>
      </c>
      <c r="EO80" s="40">
        <v>0.0</v>
      </c>
      <c r="EP80" s="40">
        <v>0.0</v>
      </c>
      <c r="EQ80" s="40">
        <v>0.0</v>
      </c>
      <c r="ER80" s="40">
        <v>0.0</v>
      </c>
      <c r="ES80" s="40">
        <v>0.0</v>
      </c>
      <c r="ET80" s="40">
        <v>0.0</v>
      </c>
      <c r="EU80" s="39">
        <v>1.0</v>
      </c>
      <c r="EV80" s="39"/>
    </row>
    <row r="81" hidden="1">
      <c r="A81" s="43"/>
      <c r="B81" s="52"/>
      <c r="C81" s="43"/>
      <c r="D81" s="43"/>
      <c r="E81" s="43"/>
      <c r="F81" s="43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5">
        <v>24.0</v>
      </c>
      <c r="AM81" s="45">
        <v>0.0</v>
      </c>
      <c r="AN81" s="45">
        <v>0.0</v>
      </c>
      <c r="AO81" s="45">
        <v>0.0</v>
      </c>
      <c r="AP81" s="45">
        <v>0.0</v>
      </c>
      <c r="AQ81" s="45">
        <v>0.0</v>
      </c>
      <c r="AR81" s="45"/>
      <c r="AS81" s="45">
        <v>2.0</v>
      </c>
      <c r="AT81" s="45">
        <v>0.0</v>
      </c>
      <c r="AU81" s="45">
        <v>0.0</v>
      </c>
      <c r="AV81" s="45">
        <v>0.0</v>
      </c>
      <c r="AW81" s="45">
        <v>0.0</v>
      </c>
      <c r="AX81" s="45">
        <v>0.0</v>
      </c>
      <c r="AY81" s="45">
        <v>0.0</v>
      </c>
      <c r="AZ81" s="45">
        <v>0.0</v>
      </c>
      <c r="BA81" s="45">
        <v>0.0</v>
      </c>
      <c r="BB81" s="45">
        <v>0.0</v>
      </c>
      <c r="BC81" s="45">
        <v>0.0</v>
      </c>
      <c r="BD81" s="45"/>
      <c r="BE81" s="45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>
        <v>0.0</v>
      </c>
      <c r="DQ81" s="46">
        <v>0.0</v>
      </c>
      <c r="DR81" s="46">
        <v>0.0</v>
      </c>
      <c r="DS81" s="46">
        <v>0.0</v>
      </c>
      <c r="DT81" s="46">
        <v>0.0</v>
      </c>
      <c r="DU81" s="46">
        <v>0.0</v>
      </c>
      <c r="DV81" s="46">
        <v>0.0</v>
      </c>
      <c r="DW81" s="46">
        <v>0.0</v>
      </c>
      <c r="DX81" s="46">
        <v>0.0</v>
      </c>
      <c r="DY81" s="46">
        <v>0.0</v>
      </c>
      <c r="DZ81" s="46">
        <v>0.0</v>
      </c>
      <c r="EA81" s="46">
        <v>0.0</v>
      </c>
      <c r="EB81" s="46">
        <v>0.0</v>
      </c>
      <c r="EC81" s="46">
        <v>0.0</v>
      </c>
      <c r="ED81" s="46">
        <v>0.0</v>
      </c>
      <c r="EE81" s="46">
        <v>0.0</v>
      </c>
      <c r="EF81" s="46">
        <v>0.0</v>
      </c>
      <c r="EG81" s="46">
        <v>0.0</v>
      </c>
      <c r="EH81" s="46">
        <v>0.0</v>
      </c>
      <c r="EI81" s="46">
        <v>0.0</v>
      </c>
      <c r="EJ81" s="46">
        <v>0.0</v>
      </c>
      <c r="EK81" s="46">
        <v>0.0</v>
      </c>
      <c r="EL81" s="46">
        <v>0.0</v>
      </c>
      <c r="EM81" s="46">
        <v>0.0</v>
      </c>
      <c r="EN81" s="46">
        <v>0.0</v>
      </c>
      <c r="EO81" s="46">
        <v>0.0</v>
      </c>
      <c r="EP81" s="46">
        <v>0.0</v>
      </c>
      <c r="EQ81" s="46">
        <v>0.0</v>
      </c>
      <c r="ER81" s="46">
        <v>0.0</v>
      </c>
      <c r="ES81" s="46">
        <v>0.0</v>
      </c>
      <c r="ET81" s="46">
        <v>0.0</v>
      </c>
      <c r="EU81" s="45">
        <v>1.0</v>
      </c>
      <c r="EV81" s="45"/>
    </row>
    <row r="82" hidden="1">
      <c r="A82" s="37"/>
      <c r="B82" s="51"/>
      <c r="C82" s="37"/>
      <c r="D82" s="37"/>
      <c r="E82" s="37"/>
      <c r="F82" s="37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9">
        <v>24.0</v>
      </c>
      <c r="AM82" s="39">
        <v>0.0</v>
      </c>
      <c r="AN82" s="39">
        <v>0.0</v>
      </c>
      <c r="AO82" s="39">
        <v>0.0</v>
      </c>
      <c r="AP82" s="39">
        <v>0.0</v>
      </c>
      <c r="AQ82" s="39">
        <v>0.0</v>
      </c>
      <c r="AR82" s="39"/>
      <c r="AS82" s="39">
        <v>2.0</v>
      </c>
      <c r="AT82" s="39">
        <v>0.0</v>
      </c>
      <c r="AU82" s="39">
        <v>0.0</v>
      </c>
      <c r="AV82" s="39">
        <v>0.0</v>
      </c>
      <c r="AW82" s="39">
        <v>0.0</v>
      </c>
      <c r="AX82" s="39">
        <v>0.0</v>
      </c>
      <c r="AY82" s="39">
        <v>0.0</v>
      </c>
      <c r="AZ82" s="39">
        <v>0.0</v>
      </c>
      <c r="BA82" s="39">
        <v>0.0</v>
      </c>
      <c r="BB82" s="39">
        <v>0.0</v>
      </c>
      <c r="BC82" s="39">
        <v>0.0</v>
      </c>
      <c r="BD82" s="39"/>
      <c r="BE82" s="39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>
        <v>0.0</v>
      </c>
      <c r="DQ82" s="40">
        <v>0.0</v>
      </c>
      <c r="DR82" s="40">
        <v>0.0</v>
      </c>
      <c r="DS82" s="40">
        <v>0.0</v>
      </c>
      <c r="DT82" s="40">
        <v>0.0</v>
      </c>
      <c r="DU82" s="40">
        <v>0.0</v>
      </c>
      <c r="DV82" s="40">
        <v>0.0</v>
      </c>
      <c r="DW82" s="40">
        <v>0.0</v>
      </c>
      <c r="DX82" s="40">
        <v>0.0</v>
      </c>
      <c r="DY82" s="40">
        <v>0.0</v>
      </c>
      <c r="DZ82" s="40">
        <v>0.0</v>
      </c>
      <c r="EA82" s="40">
        <v>0.0</v>
      </c>
      <c r="EB82" s="40">
        <v>0.0</v>
      </c>
      <c r="EC82" s="40">
        <v>0.0</v>
      </c>
      <c r="ED82" s="40">
        <v>0.0</v>
      </c>
      <c r="EE82" s="40">
        <v>0.0</v>
      </c>
      <c r="EF82" s="40">
        <v>0.0</v>
      </c>
      <c r="EG82" s="40">
        <v>0.0</v>
      </c>
      <c r="EH82" s="40">
        <v>0.0</v>
      </c>
      <c r="EI82" s="40">
        <v>0.0</v>
      </c>
      <c r="EJ82" s="40">
        <v>0.0</v>
      </c>
      <c r="EK82" s="40">
        <v>0.0</v>
      </c>
      <c r="EL82" s="40">
        <v>0.0</v>
      </c>
      <c r="EM82" s="40">
        <v>0.0</v>
      </c>
      <c r="EN82" s="40">
        <v>0.0</v>
      </c>
      <c r="EO82" s="40">
        <v>0.0</v>
      </c>
      <c r="EP82" s="40">
        <v>0.0</v>
      </c>
      <c r="EQ82" s="40">
        <v>0.0</v>
      </c>
      <c r="ER82" s="40">
        <v>0.0</v>
      </c>
      <c r="ES82" s="40">
        <v>0.0</v>
      </c>
      <c r="ET82" s="40">
        <v>0.0</v>
      </c>
      <c r="EU82" s="39">
        <v>1.0</v>
      </c>
      <c r="EV82" s="39"/>
    </row>
    <row r="83" hidden="1">
      <c r="A83" s="43"/>
      <c r="B83" s="52"/>
      <c r="C83" s="43"/>
      <c r="D83" s="43"/>
      <c r="E83" s="43"/>
      <c r="F83" s="43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5">
        <v>24.0</v>
      </c>
      <c r="AM83" s="45">
        <v>0.0</v>
      </c>
      <c r="AN83" s="45">
        <v>0.0</v>
      </c>
      <c r="AO83" s="45">
        <v>0.0</v>
      </c>
      <c r="AP83" s="45">
        <v>0.0</v>
      </c>
      <c r="AQ83" s="45">
        <v>0.0</v>
      </c>
      <c r="AR83" s="45"/>
      <c r="AS83" s="45">
        <v>2.0</v>
      </c>
      <c r="AT83" s="45">
        <v>0.0</v>
      </c>
      <c r="AU83" s="45">
        <v>0.0</v>
      </c>
      <c r="AV83" s="45">
        <v>0.0</v>
      </c>
      <c r="AW83" s="45">
        <v>0.0</v>
      </c>
      <c r="AX83" s="45">
        <v>0.0</v>
      </c>
      <c r="AY83" s="45">
        <v>0.0</v>
      </c>
      <c r="AZ83" s="45">
        <v>0.0</v>
      </c>
      <c r="BA83" s="45">
        <v>0.0</v>
      </c>
      <c r="BB83" s="45">
        <v>0.0</v>
      </c>
      <c r="BC83" s="45">
        <v>0.0</v>
      </c>
      <c r="BD83" s="45"/>
      <c r="BE83" s="45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>
        <v>0.0</v>
      </c>
      <c r="DQ83" s="46">
        <v>0.0</v>
      </c>
      <c r="DR83" s="46">
        <v>0.0</v>
      </c>
      <c r="DS83" s="46">
        <v>0.0</v>
      </c>
      <c r="DT83" s="46">
        <v>0.0</v>
      </c>
      <c r="DU83" s="46">
        <v>0.0</v>
      </c>
      <c r="DV83" s="46">
        <v>0.0</v>
      </c>
      <c r="DW83" s="46">
        <v>0.0</v>
      </c>
      <c r="DX83" s="46">
        <v>0.0</v>
      </c>
      <c r="DY83" s="46">
        <v>0.0</v>
      </c>
      <c r="DZ83" s="46">
        <v>0.0</v>
      </c>
      <c r="EA83" s="46">
        <v>0.0</v>
      </c>
      <c r="EB83" s="46">
        <v>0.0</v>
      </c>
      <c r="EC83" s="46">
        <v>0.0</v>
      </c>
      <c r="ED83" s="46">
        <v>0.0</v>
      </c>
      <c r="EE83" s="46">
        <v>0.0</v>
      </c>
      <c r="EF83" s="46">
        <v>0.0</v>
      </c>
      <c r="EG83" s="46">
        <v>0.0</v>
      </c>
      <c r="EH83" s="46">
        <v>0.0</v>
      </c>
      <c r="EI83" s="46">
        <v>0.0</v>
      </c>
      <c r="EJ83" s="46">
        <v>0.0</v>
      </c>
      <c r="EK83" s="46">
        <v>0.0</v>
      </c>
      <c r="EL83" s="46">
        <v>0.0</v>
      </c>
      <c r="EM83" s="46">
        <v>0.0</v>
      </c>
      <c r="EN83" s="46">
        <v>0.0</v>
      </c>
      <c r="EO83" s="46">
        <v>0.0</v>
      </c>
      <c r="EP83" s="46">
        <v>0.0</v>
      </c>
      <c r="EQ83" s="46">
        <v>0.0</v>
      </c>
      <c r="ER83" s="46">
        <v>0.0</v>
      </c>
      <c r="ES83" s="46">
        <v>0.0</v>
      </c>
      <c r="ET83" s="46">
        <v>0.0</v>
      </c>
      <c r="EU83" s="45">
        <v>1.0</v>
      </c>
      <c r="EV83" s="45"/>
    </row>
    <row r="84" hidden="1">
      <c r="A84" s="37"/>
      <c r="B84" s="51"/>
      <c r="C84" s="37"/>
      <c r="D84" s="37"/>
      <c r="E84" s="37"/>
      <c r="F84" s="37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9">
        <v>24.0</v>
      </c>
      <c r="AM84" s="39">
        <v>0.0</v>
      </c>
      <c r="AN84" s="39">
        <v>0.0</v>
      </c>
      <c r="AO84" s="39">
        <v>0.0</v>
      </c>
      <c r="AP84" s="39">
        <v>0.0</v>
      </c>
      <c r="AQ84" s="39">
        <v>0.0</v>
      </c>
      <c r="AR84" s="39"/>
      <c r="AS84" s="39">
        <v>2.0</v>
      </c>
      <c r="AT84" s="39">
        <v>0.0</v>
      </c>
      <c r="AU84" s="39">
        <v>0.0</v>
      </c>
      <c r="AV84" s="39">
        <v>0.0</v>
      </c>
      <c r="AW84" s="39">
        <v>0.0</v>
      </c>
      <c r="AX84" s="39">
        <v>0.0</v>
      </c>
      <c r="AY84" s="39">
        <v>0.0</v>
      </c>
      <c r="AZ84" s="39">
        <v>0.0</v>
      </c>
      <c r="BA84" s="39">
        <v>0.0</v>
      </c>
      <c r="BB84" s="39">
        <v>0.0</v>
      </c>
      <c r="BC84" s="39">
        <v>0.0</v>
      </c>
      <c r="BD84" s="39"/>
      <c r="BE84" s="39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>
        <v>0.0</v>
      </c>
      <c r="DQ84" s="40">
        <v>0.0</v>
      </c>
      <c r="DR84" s="40">
        <v>0.0</v>
      </c>
      <c r="DS84" s="40">
        <v>0.0</v>
      </c>
      <c r="DT84" s="40">
        <v>0.0</v>
      </c>
      <c r="DU84" s="40">
        <v>0.0</v>
      </c>
      <c r="DV84" s="40">
        <v>0.0</v>
      </c>
      <c r="DW84" s="40">
        <v>0.0</v>
      </c>
      <c r="DX84" s="40">
        <v>0.0</v>
      </c>
      <c r="DY84" s="40">
        <v>0.0</v>
      </c>
      <c r="DZ84" s="40">
        <v>0.0</v>
      </c>
      <c r="EA84" s="40">
        <v>0.0</v>
      </c>
      <c r="EB84" s="40">
        <v>0.0</v>
      </c>
      <c r="EC84" s="40">
        <v>0.0</v>
      </c>
      <c r="ED84" s="40">
        <v>0.0</v>
      </c>
      <c r="EE84" s="40">
        <v>0.0</v>
      </c>
      <c r="EF84" s="40">
        <v>0.0</v>
      </c>
      <c r="EG84" s="40">
        <v>0.0</v>
      </c>
      <c r="EH84" s="40">
        <v>0.0</v>
      </c>
      <c r="EI84" s="40">
        <v>0.0</v>
      </c>
      <c r="EJ84" s="40">
        <v>0.0</v>
      </c>
      <c r="EK84" s="40">
        <v>0.0</v>
      </c>
      <c r="EL84" s="40">
        <v>0.0</v>
      </c>
      <c r="EM84" s="40">
        <v>0.0</v>
      </c>
      <c r="EN84" s="40">
        <v>0.0</v>
      </c>
      <c r="EO84" s="40">
        <v>0.0</v>
      </c>
      <c r="EP84" s="40">
        <v>0.0</v>
      </c>
      <c r="EQ84" s="40">
        <v>0.0</v>
      </c>
      <c r="ER84" s="40">
        <v>0.0</v>
      </c>
      <c r="ES84" s="40">
        <v>0.0</v>
      </c>
      <c r="ET84" s="40">
        <v>0.0</v>
      </c>
      <c r="EU84" s="39">
        <v>1.0</v>
      </c>
      <c r="EV84" s="39"/>
    </row>
    <row r="85" hidden="1">
      <c r="A85" s="43"/>
      <c r="B85" s="52"/>
      <c r="C85" s="43"/>
      <c r="D85" s="43"/>
      <c r="E85" s="43"/>
      <c r="F85" s="43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5">
        <v>24.0</v>
      </c>
      <c r="AM85" s="45">
        <v>0.0</v>
      </c>
      <c r="AN85" s="45">
        <v>0.0</v>
      </c>
      <c r="AO85" s="45">
        <v>0.0</v>
      </c>
      <c r="AP85" s="45">
        <v>0.0</v>
      </c>
      <c r="AQ85" s="45">
        <v>0.0</v>
      </c>
      <c r="AR85" s="45"/>
      <c r="AS85" s="45">
        <v>2.0</v>
      </c>
      <c r="AT85" s="45">
        <v>0.0</v>
      </c>
      <c r="AU85" s="45">
        <v>0.0</v>
      </c>
      <c r="AV85" s="45">
        <v>0.0</v>
      </c>
      <c r="AW85" s="45">
        <v>0.0</v>
      </c>
      <c r="AX85" s="45">
        <v>0.0</v>
      </c>
      <c r="AY85" s="45">
        <v>0.0</v>
      </c>
      <c r="AZ85" s="45">
        <v>0.0</v>
      </c>
      <c r="BA85" s="45">
        <v>0.0</v>
      </c>
      <c r="BB85" s="45">
        <v>0.0</v>
      </c>
      <c r="BC85" s="45">
        <v>0.0</v>
      </c>
      <c r="BD85" s="45"/>
      <c r="BE85" s="45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>
        <v>0.0</v>
      </c>
      <c r="DQ85" s="46">
        <v>0.0</v>
      </c>
      <c r="DR85" s="46">
        <v>0.0</v>
      </c>
      <c r="DS85" s="46">
        <v>0.0</v>
      </c>
      <c r="DT85" s="46">
        <v>0.0</v>
      </c>
      <c r="DU85" s="46">
        <v>0.0</v>
      </c>
      <c r="DV85" s="46">
        <v>0.0</v>
      </c>
      <c r="DW85" s="46">
        <v>0.0</v>
      </c>
      <c r="DX85" s="46">
        <v>0.0</v>
      </c>
      <c r="DY85" s="46">
        <v>0.0</v>
      </c>
      <c r="DZ85" s="46">
        <v>0.0</v>
      </c>
      <c r="EA85" s="46">
        <v>0.0</v>
      </c>
      <c r="EB85" s="46">
        <v>0.0</v>
      </c>
      <c r="EC85" s="46">
        <v>0.0</v>
      </c>
      <c r="ED85" s="46">
        <v>0.0</v>
      </c>
      <c r="EE85" s="46">
        <v>0.0</v>
      </c>
      <c r="EF85" s="46">
        <v>0.0</v>
      </c>
      <c r="EG85" s="46">
        <v>0.0</v>
      </c>
      <c r="EH85" s="46">
        <v>0.0</v>
      </c>
      <c r="EI85" s="46">
        <v>0.0</v>
      </c>
      <c r="EJ85" s="46">
        <v>0.0</v>
      </c>
      <c r="EK85" s="46">
        <v>0.0</v>
      </c>
      <c r="EL85" s="46">
        <v>0.0</v>
      </c>
      <c r="EM85" s="46">
        <v>0.0</v>
      </c>
      <c r="EN85" s="46">
        <v>0.0</v>
      </c>
      <c r="EO85" s="46">
        <v>0.0</v>
      </c>
      <c r="EP85" s="46">
        <v>0.0</v>
      </c>
      <c r="EQ85" s="46">
        <v>0.0</v>
      </c>
      <c r="ER85" s="46">
        <v>0.0</v>
      </c>
      <c r="ES85" s="46">
        <v>0.0</v>
      </c>
      <c r="ET85" s="46">
        <v>0.0</v>
      </c>
      <c r="EU85" s="45">
        <v>1.0</v>
      </c>
      <c r="EV85" s="45"/>
    </row>
    <row r="86" hidden="1">
      <c r="A86" s="37"/>
      <c r="B86" s="51"/>
      <c r="C86" s="37"/>
      <c r="D86" s="37"/>
      <c r="E86" s="37"/>
      <c r="F86" s="37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9">
        <v>24.0</v>
      </c>
      <c r="AM86" s="39">
        <v>0.0</v>
      </c>
      <c r="AN86" s="39">
        <v>0.0</v>
      </c>
      <c r="AO86" s="39">
        <v>0.0</v>
      </c>
      <c r="AP86" s="39">
        <v>0.0</v>
      </c>
      <c r="AQ86" s="39">
        <v>0.0</v>
      </c>
      <c r="AR86" s="39"/>
      <c r="AS86" s="39">
        <v>2.0</v>
      </c>
      <c r="AT86" s="39">
        <v>0.0</v>
      </c>
      <c r="AU86" s="39">
        <v>0.0</v>
      </c>
      <c r="AV86" s="39">
        <v>0.0</v>
      </c>
      <c r="AW86" s="39">
        <v>0.0</v>
      </c>
      <c r="AX86" s="39">
        <v>0.0</v>
      </c>
      <c r="AY86" s="39">
        <v>0.0</v>
      </c>
      <c r="AZ86" s="39">
        <v>0.0</v>
      </c>
      <c r="BA86" s="39">
        <v>0.0</v>
      </c>
      <c r="BB86" s="39">
        <v>0.0</v>
      </c>
      <c r="BC86" s="39">
        <v>0.0</v>
      </c>
      <c r="BD86" s="39"/>
      <c r="BE86" s="39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>
        <v>0.0</v>
      </c>
      <c r="DQ86" s="40">
        <v>0.0</v>
      </c>
      <c r="DR86" s="40">
        <v>0.0</v>
      </c>
      <c r="DS86" s="40">
        <v>0.0</v>
      </c>
      <c r="DT86" s="40">
        <v>0.0</v>
      </c>
      <c r="DU86" s="40">
        <v>0.0</v>
      </c>
      <c r="DV86" s="40">
        <v>0.0</v>
      </c>
      <c r="DW86" s="40">
        <v>0.0</v>
      </c>
      <c r="DX86" s="40">
        <v>0.0</v>
      </c>
      <c r="DY86" s="40">
        <v>0.0</v>
      </c>
      <c r="DZ86" s="40">
        <v>0.0</v>
      </c>
      <c r="EA86" s="40">
        <v>0.0</v>
      </c>
      <c r="EB86" s="40">
        <v>0.0</v>
      </c>
      <c r="EC86" s="40">
        <v>0.0</v>
      </c>
      <c r="ED86" s="40">
        <v>0.0</v>
      </c>
      <c r="EE86" s="40">
        <v>0.0</v>
      </c>
      <c r="EF86" s="40">
        <v>0.0</v>
      </c>
      <c r="EG86" s="40">
        <v>0.0</v>
      </c>
      <c r="EH86" s="40">
        <v>0.0</v>
      </c>
      <c r="EI86" s="40">
        <v>0.0</v>
      </c>
      <c r="EJ86" s="40">
        <v>0.0</v>
      </c>
      <c r="EK86" s="40">
        <v>0.0</v>
      </c>
      <c r="EL86" s="40">
        <v>0.0</v>
      </c>
      <c r="EM86" s="40">
        <v>0.0</v>
      </c>
      <c r="EN86" s="40">
        <v>0.0</v>
      </c>
      <c r="EO86" s="40">
        <v>0.0</v>
      </c>
      <c r="EP86" s="40">
        <v>0.0</v>
      </c>
      <c r="EQ86" s="40">
        <v>0.0</v>
      </c>
      <c r="ER86" s="40">
        <v>0.0</v>
      </c>
      <c r="ES86" s="40">
        <v>0.0</v>
      </c>
      <c r="ET86" s="40">
        <v>0.0</v>
      </c>
      <c r="EU86" s="39">
        <v>1.0</v>
      </c>
      <c r="EV86" s="39"/>
    </row>
    <row r="87" hidden="1">
      <c r="A87" s="43"/>
      <c r="B87" s="52"/>
      <c r="C87" s="43"/>
      <c r="D87" s="43"/>
      <c r="E87" s="43"/>
      <c r="F87" s="43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5">
        <v>24.0</v>
      </c>
      <c r="AM87" s="45">
        <v>0.0</v>
      </c>
      <c r="AN87" s="45">
        <v>0.0</v>
      </c>
      <c r="AO87" s="45">
        <v>0.0</v>
      </c>
      <c r="AP87" s="45">
        <v>0.0</v>
      </c>
      <c r="AQ87" s="45">
        <v>0.0</v>
      </c>
      <c r="AR87" s="45"/>
      <c r="AS87" s="45">
        <v>2.0</v>
      </c>
      <c r="AT87" s="45">
        <v>0.0</v>
      </c>
      <c r="AU87" s="45">
        <v>0.0</v>
      </c>
      <c r="AV87" s="45">
        <v>0.0</v>
      </c>
      <c r="AW87" s="45">
        <v>0.0</v>
      </c>
      <c r="AX87" s="45">
        <v>0.0</v>
      </c>
      <c r="AY87" s="45">
        <v>0.0</v>
      </c>
      <c r="AZ87" s="45">
        <v>0.0</v>
      </c>
      <c r="BA87" s="45">
        <v>0.0</v>
      </c>
      <c r="BB87" s="45">
        <v>0.0</v>
      </c>
      <c r="BC87" s="45">
        <v>0.0</v>
      </c>
      <c r="BD87" s="45"/>
      <c r="BE87" s="45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>
        <v>0.0</v>
      </c>
      <c r="DQ87" s="46">
        <v>0.0</v>
      </c>
      <c r="DR87" s="46">
        <v>0.0</v>
      </c>
      <c r="DS87" s="46">
        <v>0.0</v>
      </c>
      <c r="DT87" s="46">
        <v>0.0</v>
      </c>
      <c r="DU87" s="46">
        <v>0.0</v>
      </c>
      <c r="DV87" s="46">
        <v>0.0</v>
      </c>
      <c r="DW87" s="46">
        <v>0.0</v>
      </c>
      <c r="DX87" s="46">
        <v>0.0</v>
      </c>
      <c r="DY87" s="46">
        <v>0.0</v>
      </c>
      <c r="DZ87" s="46">
        <v>0.0</v>
      </c>
      <c r="EA87" s="46">
        <v>0.0</v>
      </c>
      <c r="EB87" s="46">
        <v>0.0</v>
      </c>
      <c r="EC87" s="46">
        <v>0.0</v>
      </c>
      <c r="ED87" s="46">
        <v>0.0</v>
      </c>
      <c r="EE87" s="46">
        <v>0.0</v>
      </c>
      <c r="EF87" s="46">
        <v>0.0</v>
      </c>
      <c r="EG87" s="46">
        <v>0.0</v>
      </c>
      <c r="EH87" s="46">
        <v>0.0</v>
      </c>
      <c r="EI87" s="46">
        <v>0.0</v>
      </c>
      <c r="EJ87" s="46">
        <v>0.0</v>
      </c>
      <c r="EK87" s="46">
        <v>0.0</v>
      </c>
      <c r="EL87" s="46">
        <v>0.0</v>
      </c>
      <c r="EM87" s="46">
        <v>0.0</v>
      </c>
      <c r="EN87" s="46">
        <v>0.0</v>
      </c>
      <c r="EO87" s="46">
        <v>0.0</v>
      </c>
      <c r="EP87" s="46">
        <v>0.0</v>
      </c>
      <c r="EQ87" s="46">
        <v>0.0</v>
      </c>
      <c r="ER87" s="46">
        <v>0.0</v>
      </c>
      <c r="ES87" s="46">
        <v>0.0</v>
      </c>
      <c r="ET87" s="46">
        <v>0.0</v>
      </c>
      <c r="EU87" s="45">
        <v>1.0</v>
      </c>
      <c r="EV87" s="45"/>
    </row>
    <row r="88" hidden="1">
      <c r="A88" s="37"/>
      <c r="B88" s="51"/>
      <c r="C88" s="37"/>
      <c r="D88" s="37"/>
      <c r="E88" s="37"/>
      <c r="F88" s="37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9">
        <v>24.0</v>
      </c>
      <c r="AM88" s="39">
        <v>0.0</v>
      </c>
      <c r="AN88" s="39">
        <v>0.0</v>
      </c>
      <c r="AO88" s="39">
        <v>0.0</v>
      </c>
      <c r="AP88" s="39">
        <v>0.0</v>
      </c>
      <c r="AQ88" s="39">
        <v>0.0</v>
      </c>
      <c r="AR88" s="39"/>
      <c r="AS88" s="39">
        <v>2.0</v>
      </c>
      <c r="AT88" s="39">
        <v>0.0</v>
      </c>
      <c r="AU88" s="39">
        <v>0.0</v>
      </c>
      <c r="AV88" s="39">
        <v>0.0</v>
      </c>
      <c r="AW88" s="39">
        <v>0.0</v>
      </c>
      <c r="AX88" s="39">
        <v>0.0</v>
      </c>
      <c r="AY88" s="39">
        <v>0.0</v>
      </c>
      <c r="AZ88" s="39">
        <v>0.0</v>
      </c>
      <c r="BA88" s="39">
        <v>0.0</v>
      </c>
      <c r="BB88" s="39">
        <v>0.0</v>
      </c>
      <c r="BC88" s="39">
        <v>0.0</v>
      </c>
      <c r="BD88" s="39"/>
      <c r="BE88" s="39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>
        <v>0.0</v>
      </c>
      <c r="DQ88" s="40">
        <v>0.0</v>
      </c>
      <c r="DR88" s="40">
        <v>0.0</v>
      </c>
      <c r="DS88" s="40">
        <v>0.0</v>
      </c>
      <c r="DT88" s="40">
        <v>0.0</v>
      </c>
      <c r="DU88" s="40">
        <v>0.0</v>
      </c>
      <c r="DV88" s="40">
        <v>0.0</v>
      </c>
      <c r="DW88" s="40">
        <v>0.0</v>
      </c>
      <c r="DX88" s="40">
        <v>0.0</v>
      </c>
      <c r="DY88" s="40">
        <v>0.0</v>
      </c>
      <c r="DZ88" s="40">
        <v>0.0</v>
      </c>
      <c r="EA88" s="40">
        <v>0.0</v>
      </c>
      <c r="EB88" s="40">
        <v>0.0</v>
      </c>
      <c r="EC88" s="40">
        <v>0.0</v>
      </c>
      <c r="ED88" s="40">
        <v>0.0</v>
      </c>
      <c r="EE88" s="40">
        <v>0.0</v>
      </c>
      <c r="EF88" s="40">
        <v>0.0</v>
      </c>
      <c r="EG88" s="40">
        <v>0.0</v>
      </c>
      <c r="EH88" s="40">
        <v>0.0</v>
      </c>
      <c r="EI88" s="40">
        <v>0.0</v>
      </c>
      <c r="EJ88" s="40">
        <v>0.0</v>
      </c>
      <c r="EK88" s="40">
        <v>0.0</v>
      </c>
      <c r="EL88" s="40">
        <v>0.0</v>
      </c>
      <c r="EM88" s="40">
        <v>0.0</v>
      </c>
      <c r="EN88" s="40">
        <v>0.0</v>
      </c>
      <c r="EO88" s="40">
        <v>0.0</v>
      </c>
      <c r="EP88" s="40">
        <v>0.0</v>
      </c>
      <c r="EQ88" s="40">
        <v>0.0</v>
      </c>
      <c r="ER88" s="40">
        <v>0.0</v>
      </c>
      <c r="ES88" s="40">
        <v>0.0</v>
      </c>
      <c r="ET88" s="40">
        <v>0.0</v>
      </c>
      <c r="EU88" s="39">
        <v>1.0</v>
      </c>
      <c r="EV88" s="39"/>
    </row>
    <row r="89">
      <c r="A89" s="43"/>
      <c r="B89" s="52"/>
      <c r="C89" s="43"/>
      <c r="D89" s="43"/>
      <c r="E89" s="43"/>
      <c r="F89" s="43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5"/>
      <c r="EV89" s="45"/>
    </row>
    <row r="90">
      <c r="A90" s="5"/>
      <c r="B90" s="53"/>
      <c r="C90" s="5"/>
      <c r="D90" s="5"/>
      <c r="E90" s="5"/>
      <c r="F90" s="5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4"/>
      <c r="EV90" s="4"/>
    </row>
    <row r="91">
      <c r="A91" s="5"/>
      <c r="B91" s="54"/>
      <c r="C91" s="5"/>
      <c r="D91" s="5"/>
      <c r="E91" s="5"/>
      <c r="F91" s="55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7"/>
      <c r="AU91" s="58"/>
      <c r="AV91" s="5"/>
      <c r="AW91" s="5"/>
      <c r="AX91" s="5"/>
      <c r="AY91" s="1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4"/>
      <c r="EV91" s="4"/>
    </row>
    <row r="92">
      <c r="A92" s="5"/>
      <c r="B92" s="59" t="s">
        <v>109</v>
      </c>
      <c r="C92" s="60"/>
      <c r="D92" s="5"/>
      <c r="E92" s="5"/>
      <c r="F92" s="55">
        <v>24.0</v>
      </c>
      <c r="G92" s="56" t="s">
        <v>110</v>
      </c>
      <c r="AL92" s="57"/>
      <c r="AU92" s="61" t="s">
        <v>111</v>
      </c>
      <c r="AV92" s="60"/>
      <c r="AW92" s="62"/>
      <c r="AX92" s="63"/>
      <c r="AY92" s="1"/>
      <c r="BE92" s="63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4"/>
      <c r="EV92" s="4"/>
    </row>
    <row r="93">
      <c r="A93" s="5"/>
      <c r="B93" s="64">
        <v>44688.0</v>
      </c>
      <c r="C93" s="65" t="s">
        <v>112</v>
      </c>
      <c r="D93" s="5"/>
      <c r="E93" s="5"/>
      <c r="F93" s="5"/>
      <c r="G93" s="66" t="s">
        <v>113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57"/>
      <c r="AU93" s="61">
        <v>1.0</v>
      </c>
      <c r="AV93" s="65" t="s">
        <v>114</v>
      </c>
      <c r="AW93" s="67"/>
      <c r="AX93" s="68"/>
      <c r="AY93" s="1"/>
      <c r="AZ93" s="69" t="s">
        <v>115</v>
      </c>
      <c r="BA93" s="65" t="s">
        <v>116</v>
      </c>
      <c r="BB93" s="62"/>
      <c r="BC93" s="70"/>
      <c r="BE93" s="68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</row>
    <row r="94">
      <c r="A94" s="5"/>
      <c r="B94" s="64">
        <v>44702.0</v>
      </c>
      <c r="C94" s="65" t="s">
        <v>112</v>
      </c>
      <c r="D94" s="5"/>
      <c r="E94" s="5"/>
      <c r="F94" s="5"/>
      <c r="G94" s="66" t="s">
        <v>117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5"/>
      <c r="AU94" s="61">
        <v>0.5</v>
      </c>
      <c r="AV94" s="65" t="s">
        <v>118</v>
      </c>
      <c r="AW94" s="67"/>
      <c r="AX94" s="68"/>
      <c r="AY94" s="1"/>
      <c r="AZ94" s="71"/>
      <c r="BA94" s="65" t="s">
        <v>119</v>
      </c>
      <c r="BB94" s="67"/>
      <c r="BC94" s="70"/>
      <c r="BE94" s="68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</row>
    <row r="95">
      <c r="A95" s="5"/>
      <c r="B95" s="64"/>
      <c r="C95" s="65" t="s">
        <v>28</v>
      </c>
      <c r="D95" s="5"/>
      <c r="E95" s="5"/>
      <c r="F95" s="5"/>
      <c r="G95" s="1" t="s">
        <v>120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5"/>
      <c r="AU95" s="61" t="s">
        <v>81</v>
      </c>
      <c r="AV95" s="65" t="s">
        <v>121</v>
      </c>
      <c r="AW95" s="67"/>
      <c r="AX95" s="68"/>
      <c r="AY95" s="1"/>
      <c r="AZ95" s="72"/>
      <c r="BA95" s="65" t="s">
        <v>122</v>
      </c>
      <c r="BB95" s="67"/>
      <c r="BC95" s="70"/>
      <c r="BE95" s="68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</row>
    <row r="96">
      <c r="A96" s="5"/>
      <c r="B96" s="59" t="s">
        <v>123</v>
      </c>
      <c r="C96" s="60"/>
      <c r="D96" s="5"/>
      <c r="E96" s="5"/>
      <c r="F96" s="55">
        <v>2.0</v>
      </c>
      <c r="G96" s="66" t="s">
        <v>124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5"/>
      <c r="AU96" s="61" t="s">
        <v>125</v>
      </c>
      <c r="AV96" s="65" t="s">
        <v>126</v>
      </c>
      <c r="AW96" s="67"/>
      <c r="AX96" s="68"/>
      <c r="AY96" s="1"/>
      <c r="AZ96" s="73"/>
      <c r="BA96" s="65" t="s">
        <v>18</v>
      </c>
      <c r="BB96" s="67"/>
      <c r="BC96" s="70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</row>
    <row r="97">
      <c r="A97" s="5"/>
      <c r="B97" s="64">
        <v>44683.0</v>
      </c>
      <c r="C97" s="65" t="s">
        <v>2</v>
      </c>
      <c r="D97" s="5"/>
      <c r="E97" s="5"/>
      <c r="F97" s="55"/>
      <c r="G97" s="66" t="s">
        <v>127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5"/>
      <c r="AU97" s="61" t="s">
        <v>48</v>
      </c>
      <c r="AV97" s="65" t="s">
        <v>9</v>
      </c>
      <c r="AW97" s="67"/>
      <c r="AX97" s="68"/>
      <c r="AY97" s="5"/>
      <c r="AZ97" s="1"/>
      <c r="BA97" s="1"/>
      <c r="BB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</row>
    <row r="98">
      <c r="A98" s="5"/>
      <c r="B98" s="64">
        <v>44684.0</v>
      </c>
      <c r="C98" s="65" t="s">
        <v>2</v>
      </c>
      <c r="D98" s="5"/>
      <c r="E98" s="5"/>
      <c r="F98" s="5"/>
      <c r="G98" s="1" t="s">
        <v>128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57"/>
      <c r="AJ98" s="1"/>
      <c r="AK98" s="1"/>
      <c r="AL98" s="5"/>
      <c r="AU98" s="61" t="s">
        <v>42</v>
      </c>
      <c r="AV98" s="67" t="s">
        <v>33</v>
      </c>
      <c r="AW98" s="67"/>
      <c r="AX98" s="68"/>
      <c r="AY98" s="5"/>
      <c r="AZ98" s="1"/>
      <c r="BA98" s="1"/>
      <c r="BB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</row>
    <row r="99">
      <c r="A99" s="5"/>
      <c r="B99" s="74"/>
      <c r="C99" s="65" t="s">
        <v>28</v>
      </c>
      <c r="D99" s="5"/>
      <c r="E99" s="5"/>
      <c r="F99" s="5"/>
      <c r="G99" s="1"/>
      <c r="H99" s="1"/>
      <c r="I99" s="5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57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57"/>
      <c r="AI99" s="1"/>
      <c r="AJ99" s="1"/>
      <c r="AK99" s="1"/>
      <c r="AL99" s="5"/>
      <c r="AU99" s="61" t="s">
        <v>45</v>
      </c>
      <c r="AV99" s="65" t="s">
        <v>129</v>
      </c>
      <c r="AW99" s="67"/>
      <c r="AX99" s="68"/>
      <c r="AY99" s="5"/>
      <c r="AZ99" s="1"/>
      <c r="BA99" s="1"/>
      <c r="BB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</row>
    <row r="100">
      <c r="A100" s="5"/>
      <c r="B100" s="74"/>
      <c r="C100" s="65" t="s">
        <v>28</v>
      </c>
      <c r="D100" s="5"/>
      <c r="E100" s="5"/>
      <c r="F100" s="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5"/>
      <c r="AU100" s="61" t="s">
        <v>130</v>
      </c>
      <c r="AV100" s="65" t="s">
        <v>32</v>
      </c>
      <c r="AW100" s="67"/>
      <c r="AX100" s="68"/>
      <c r="AY100" s="5"/>
      <c r="AZ100" s="1"/>
      <c r="BA100" s="1"/>
      <c r="BB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</row>
    <row r="101">
      <c r="A101" s="5"/>
      <c r="B101" s="74"/>
      <c r="C101" s="65" t="s">
        <v>28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U101" s="61" t="s">
        <v>43</v>
      </c>
      <c r="AV101" s="67" t="s">
        <v>131</v>
      </c>
      <c r="AW101" s="62"/>
      <c r="AX101" s="63"/>
      <c r="AY101" s="5"/>
      <c r="AZ101" s="5"/>
      <c r="BA101" s="5"/>
      <c r="BB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4"/>
      <c r="EV101" s="4"/>
    </row>
    <row r="102">
      <c r="A102" s="5"/>
      <c r="B102" s="58"/>
      <c r="C102" s="58"/>
      <c r="D102" s="58"/>
      <c r="E102" s="5"/>
      <c r="F102" s="5"/>
      <c r="G102" s="5"/>
      <c r="H102" s="5"/>
      <c r="I102" s="57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1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M102" s="1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</row>
    <row r="103">
      <c r="A103" s="5"/>
      <c r="B103" s="58"/>
      <c r="C103" s="58"/>
      <c r="D103" s="61" t="s">
        <v>111</v>
      </c>
      <c r="E103" s="60"/>
      <c r="F103" s="5"/>
      <c r="G103" s="57" t="s">
        <v>132</v>
      </c>
      <c r="H103" s="5"/>
      <c r="I103" s="5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1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7" t="s">
        <v>133</v>
      </c>
      <c r="AK103" s="5"/>
      <c r="AM103" s="1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</row>
    <row r="104">
      <c r="A104" s="5"/>
      <c r="B104" s="58"/>
      <c r="C104" s="58"/>
      <c r="D104" s="61">
        <v>1.0</v>
      </c>
      <c r="E104" s="65" t="s">
        <v>114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</row>
    <row r="105">
      <c r="A105" s="5"/>
      <c r="B105" s="58"/>
      <c r="C105" s="58"/>
      <c r="D105" s="61">
        <v>0.5</v>
      </c>
      <c r="E105" s="65" t="s">
        <v>118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</row>
    <row r="106">
      <c r="A106" s="5"/>
      <c r="B106" s="58"/>
      <c r="C106" s="58"/>
      <c r="D106" s="61" t="s">
        <v>81</v>
      </c>
      <c r="E106" s="65" t="s">
        <v>121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M106" s="1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</row>
    <row r="107">
      <c r="A107" s="5"/>
      <c r="B107" s="58"/>
      <c r="C107" s="58"/>
      <c r="D107" s="61" t="s">
        <v>125</v>
      </c>
      <c r="E107" s="65" t="s">
        <v>126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</row>
    <row r="108">
      <c r="A108" s="5"/>
      <c r="B108" s="58"/>
      <c r="C108" s="58"/>
      <c r="D108" s="61" t="s">
        <v>48</v>
      </c>
      <c r="E108" s="65" t="s">
        <v>9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M108" s="5"/>
      <c r="AN108" s="5"/>
      <c r="AO108" s="5"/>
      <c r="AP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</row>
    <row r="109">
      <c r="A109" s="5"/>
      <c r="B109" s="58"/>
      <c r="C109" s="58"/>
      <c r="D109" s="61" t="s">
        <v>42</v>
      </c>
      <c r="E109" s="65" t="s">
        <v>33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M109" s="5"/>
      <c r="AN109" s="5"/>
      <c r="AO109" s="5"/>
      <c r="AP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</row>
    <row r="110">
      <c r="A110" s="5"/>
      <c r="B110" s="58"/>
      <c r="C110" s="58"/>
      <c r="D110" s="61" t="s">
        <v>45</v>
      </c>
      <c r="E110" s="65" t="s">
        <v>129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M110" s="5"/>
      <c r="AN110" s="5"/>
      <c r="AO110" s="5"/>
      <c r="AP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</row>
    <row r="111">
      <c r="A111" s="5"/>
      <c r="B111" s="58"/>
      <c r="C111" s="58"/>
      <c r="D111" s="61" t="s">
        <v>130</v>
      </c>
      <c r="E111" s="65" t="s">
        <v>32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M111" s="5"/>
      <c r="AN111" s="5"/>
      <c r="AO111" s="5"/>
      <c r="AP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</row>
  </sheetData>
  <mergeCells count="22">
    <mergeCell ref="BC6:BC7"/>
    <mergeCell ref="BD6:BD7"/>
    <mergeCell ref="BF6:CJ6"/>
    <mergeCell ref="CK6:DO6"/>
    <mergeCell ref="DP6:ET6"/>
    <mergeCell ref="EU6:EV6"/>
    <mergeCell ref="AS6:AS7"/>
    <mergeCell ref="AT6:AT7"/>
    <mergeCell ref="AW6:AX6"/>
    <mergeCell ref="AY6:AY7"/>
    <mergeCell ref="AZ6:AZ7"/>
    <mergeCell ref="BA6:BA7"/>
    <mergeCell ref="BB6:BB7"/>
    <mergeCell ref="M6:AK6"/>
    <mergeCell ref="G92:AK92"/>
    <mergeCell ref="G1:AV1"/>
    <mergeCell ref="A6:F6"/>
    <mergeCell ref="G6:L6"/>
    <mergeCell ref="AL6:AL7"/>
    <mergeCell ref="AM6:AQ6"/>
    <mergeCell ref="AR6:AR7"/>
    <mergeCell ref="AU6:AV6"/>
  </mergeCells>
  <conditionalFormatting sqref="G8:AK89">
    <cfRule type="expression" dxfId="0" priority="1">
      <formula>AND(DP8&gt;0,G$7&lt;&gt;today())</formula>
    </cfRule>
  </conditionalFormatting>
  <conditionalFormatting sqref="G8:AK89">
    <cfRule type="expression" dxfId="1" priority="2">
      <formula>REGEXMATCH(G8,"\+")</formula>
    </cfRule>
  </conditionalFormatting>
  <conditionalFormatting sqref="G8:AK89">
    <cfRule type="expression" dxfId="2" priority="3">
      <formula>G$5=0</formula>
    </cfRule>
  </conditionalFormatting>
  <conditionalFormatting sqref="G12:AK89">
    <cfRule type="expression" dxfId="3" priority="4">
      <formula>And(BF12=1,G$7&lt;&gt;today())</formula>
    </cfRule>
  </conditionalFormatting>
  <conditionalFormatting sqref="G12:AK89">
    <cfRule type="expression" dxfId="4" priority="5">
      <formula>AND(CK12=1,G$7&lt;&gt;today())</formula>
    </cfRule>
  </conditionalFormatting>
  <conditionalFormatting sqref="DP8:ET89">
    <cfRule type="notContainsBlanks" dxfId="5" priority="6">
      <formula>LEN(TRIM(DP8))&gt;0</formula>
    </cfRule>
  </conditionalFormatting>
  <conditionalFormatting sqref="DP12">
    <cfRule type="notContainsBlanks" dxfId="5" priority="7">
      <formula>LEN(TRIM(DP12))&gt;0</formula>
    </cfRule>
  </conditionalFormatting>
  <printOptions horizontalCentered="1"/>
  <pageMargins bottom="0.75" footer="0.0" header="0.0" left="0.7" right="0.7" top="0.75"/>
  <pageSetup paperSize="9" cellComments="atEnd" orientation="landscape" pageOrder="overThenDown"/>
  <rowBreaks count="2" manualBreakCount="2">
    <brk man="1"/>
    <brk id="90" man="1"/>
  </rowBreaks>
  <colBreaks count="2" manualBreakCount="2">
    <brk man="1"/>
    <brk id="5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5.25"/>
    <col customWidth="1" min="2" max="2" width="9.88"/>
    <col customWidth="1" min="3" max="3" width="7.13"/>
    <col customWidth="1" min="4" max="4" width="22.13"/>
    <col customWidth="1" hidden="1" min="5" max="5" width="12.0"/>
    <col customWidth="1" min="6" max="7" width="8.38"/>
    <col customWidth="1" min="8" max="8" width="12.63"/>
    <col customWidth="1" hidden="1" min="9" max="20" width="8.25"/>
  </cols>
  <sheetData>
    <row r="1">
      <c r="A1" s="75" t="s">
        <v>134</v>
      </c>
    </row>
    <row r="2" hidden="1">
      <c r="A2" s="76"/>
      <c r="B2" s="77"/>
      <c r="C2" s="76"/>
      <c r="D2" s="76"/>
      <c r="E2" s="76"/>
      <c r="F2" s="78"/>
      <c r="G2" s="78"/>
      <c r="H2" s="76"/>
      <c r="I2" s="78"/>
      <c r="J2" s="79"/>
      <c r="K2" s="79"/>
      <c r="L2" s="80">
        <v>0.3333333333333333</v>
      </c>
      <c r="M2" s="80">
        <v>0.3541666666666667</v>
      </c>
      <c r="N2" s="80">
        <v>0.4375</v>
      </c>
      <c r="O2" s="80">
        <v>0.5</v>
      </c>
      <c r="P2" s="80">
        <v>0.5416666666666666</v>
      </c>
      <c r="Q2" s="80">
        <v>0.7083333333333334</v>
      </c>
      <c r="R2" s="80">
        <v>0.9375</v>
      </c>
      <c r="S2" s="80">
        <v>0.0</v>
      </c>
      <c r="T2" s="81"/>
    </row>
    <row r="3" hidden="1">
      <c r="A3" s="76"/>
      <c r="B3" s="77"/>
      <c r="C3" s="76"/>
      <c r="D3" s="76"/>
      <c r="E3" s="76"/>
      <c r="F3" s="78"/>
      <c r="G3" s="78"/>
      <c r="H3" s="76"/>
      <c r="I3" s="78"/>
      <c r="J3" s="82"/>
      <c r="K3" s="82"/>
      <c r="L3" s="83" t="s">
        <v>135</v>
      </c>
      <c r="M3" s="83" t="s">
        <v>136</v>
      </c>
      <c r="N3" s="83" t="s">
        <v>137</v>
      </c>
      <c r="O3" s="83" t="s">
        <v>138</v>
      </c>
      <c r="P3" s="83" t="s">
        <v>139</v>
      </c>
      <c r="Q3" s="83" t="s">
        <v>140</v>
      </c>
      <c r="R3" s="83" t="s">
        <v>141</v>
      </c>
      <c r="S3" s="83"/>
      <c r="T3" s="81"/>
    </row>
    <row r="4">
      <c r="A4" s="84" t="s">
        <v>22</v>
      </c>
      <c r="B4" s="85" t="s">
        <v>142</v>
      </c>
      <c r="C4" s="84" t="s">
        <v>143</v>
      </c>
      <c r="D4" s="86" t="s">
        <v>144</v>
      </c>
      <c r="E4" s="86" t="s">
        <v>145</v>
      </c>
      <c r="F4" s="86" t="s">
        <v>146</v>
      </c>
      <c r="G4" s="86" t="s">
        <v>147</v>
      </c>
      <c r="H4" s="86" t="s">
        <v>17</v>
      </c>
      <c r="I4" s="87" t="s">
        <v>148</v>
      </c>
      <c r="J4" s="87" t="s">
        <v>149</v>
      </c>
      <c r="K4" s="87" t="s">
        <v>150</v>
      </c>
      <c r="L4" s="87" t="s">
        <v>151</v>
      </c>
      <c r="M4" s="87" t="s">
        <v>152</v>
      </c>
      <c r="N4" s="87" t="s">
        <v>153</v>
      </c>
      <c r="O4" s="87" t="s">
        <v>154</v>
      </c>
      <c r="P4" s="87" t="s">
        <v>155</v>
      </c>
      <c r="Q4" s="87" t="s">
        <v>156</v>
      </c>
      <c r="R4" s="87" t="s">
        <v>157</v>
      </c>
      <c r="S4" s="88" t="s">
        <v>18</v>
      </c>
      <c r="T4" s="88" t="s">
        <v>19</v>
      </c>
    </row>
    <row r="5">
      <c r="A5" s="89" t="s">
        <v>158</v>
      </c>
      <c r="B5" s="90"/>
      <c r="C5" s="90"/>
      <c r="D5" s="90"/>
      <c r="E5" s="90"/>
      <c r="F5" s="90"/>
      <c r="G5" s="90"/>
      <c r="H5" s="91"/>
      <c r="I5" s="92" t="str">
        <f>IFERROR(VLOOKUP(D5,'Công T5'!$C$7:$F$89,4,0),"")</f>
        <v/>
      </c>
      <c r="J5" s="93"/>
      <c r="K5" s="92" t="str">
        <f t="shared" ref="K5:K633" si="1">if(and(F5="",B5&lt;&gt;B6),"",IFERROR(if(and(B5=B6,C5=C6),if(K6&lt;&gt;"",K6,J6),G5),G5))</f>
        <v/>
      </c>
      <c r="L5" s="92" t="str">
        <f>IFERROR(VLOOKUP(D5,'Công T5'!$C$7:$F$89,2,0),"")</f>
        <v/>
      </c>
      <c r="M5" s="92" t="str">
        <f>IFERROR(VLOOKUP(D5,'Công T5'!$C$7:$F$89,3,0),"")</f>
        <v/>
      </c>
      <c r="N5" s="92" t="str">
        <f>if(I5="","",if(F5&lt;=L5,$L$2,if(F5&lt;=$M$2,$L$2,if(and(F5&lt;$P$2,F5&gt;$O$2),$P$2,F5))))</f>
        <v/>
      </c>
      <c r="O5" s="92" t="str">
        <f t="shared" ref="O5:O972" si="2">if(K5="","",if(K5&lt;$O$2,K5,if(and(K5&gt;$O$2,K5&lt;$P$2),$O$2,if(K5&lt;$Q$2,K5,$Q$2))))</f>
        <v/>
      </c>
      <c r="P5" s="94">
        <f t="shared" ref="P5:P972" si="3">if(O5&lt;$L$2,0.5,if(O5&lt;&gt;"",if(N5&lt;$O$2,if(O5&lt;$O$2,O5-N5,$O$2-N5),0),"")*24/8)</f>
        <v>0</v>
      </c>
      <c r="Q5" s="94" t="str">
        <f t="shared" ref="Q5:Q972" si="4">if(O5="","",if(O5&gt;$P$2,if(and(M5&lt;&gt;"",O5&gt;=M5),$Q$2-$P$2,O5-$P$2),0)*24/8)</f>
        <v/>
      </c>
      <c r="R5" s="95">
        <f t="shared" ref="R5:R972" si="5">if(T5=1,0.5,P5+Q5)</f>
        <v>0</v>
      </c>
      <c r="S5" s="95">
        <f t="shared" ref="S5:S972" si="6">if(T5=1,"",if(L5&lt;&gt;"",if(F5&gt;L5,1,0),if(T5&lt;&gt;"",if(and(I5&lt;&gt;"NL",J5&gt;$L$2),1,0),0)))</f>
        <v>0</v>
      </c>
      <c r="T5" s="95" t="str">
        <f t="shared" ref="T5:T972" si="7">if(D5="","",if(OR(J5="",K5=""),1,0))</f>
        <v/>
      </c>
    </row>
    <row r="6">
      <c r="A6" s="96">
        <v>1.0</v>
      </c>
      <c r="B6" s="97">
        <v>44677.0</v>
      </c>
      <c r="C6" s="96">
        <v>10044.0</v>
      </c>
      <c r="D6" s="98" t="s">
        <v>55</v>
      </c>
      <c r="E6" s="98" t="s">
        <v>159</v>
      </c>
      <c r="F6" s="99">
        <v>0.32916666666666666</v>
      </c>
      <c r="G6" s="99">
        <v>0.7111111111111111</v>
      </c>
      <c r="H6" s="100"/>
      <c r="I6" s="92" t="str">
        <f>IFERROR(VLOOKUP(D6,'Công T5'!$C$7:$F$89,4,0),"")</f>
        <v>ĐT</v>
      </c>
      <c r="J6" s="92">
        <f t="shared" ref="J6:J972" si="8">if(F6="",G6,F6)</f>
        <v>0.3291666667</v>
      </c>
      <c r="K6" s="92">
        <f t="shared" si="1"/>
        <v>0.7111111111</v>
      </c>
      <c r="L6" s="92" t="str">
        <f>IFERROR(VLOOKUP(D6,'Công T5'!$C$7:$F$89,2,0),"")</f>
        <v/>
      </c>
      <c r="M6" s="92" t="str">
        <f>IFERROR(VLOOKUP(D6,'Công T5'!$C$7:$F$89,3,0),"")</f>
        <v/>
      </c>
      <c r="N6" s="92">
        <f t="shared" ref="N6:N972" si="9">if(I6="","",if(J6&lt;=L6,$L$2,if(J6&lt;=$M$2,$L$2,if(and(J6&lt;$P$2,J6&gt;$O$2),$P$2,J6))))</f>
        <v>0.3333333333</v>
      </c>
      <c r="O6" s="92">
        <f t="shared" si="2"/>
        <v>0.7083333333</v>
      </c>
      <c r="P6" s="94">
        <f t="shared" si="3"/>
        <v>0.5</v>
      </c>
      <c r="Q6" s="94">
        <f t="shared" si="4"/>
        <v>0.5</v>
      </c>
      <c r="R6" s="95">
        <f t="shared" si="5"/>
        <v>1</v>
      </c>
      <c r="S6" s="95">
        <f t="shared" si="6"/>
        <v>0</v>
      </c>
      <c r="T6" s="95">
        <f t="shared" si="7"/>
        <v>0</v>
      </c>
    </row>
    <row r="7">
      <c r="A7" s="96">
        <v>2.0</v>
      </c>
      <c r="B7" s="97">
        <v>44678.0</v>
      </c>
      <c r="C7" s="96">
        <v>10044.0</v>
      </c>
      <c r="D7" s="98" t="s">
        <v>55</v>
      </c>
      <c r="E7" s="98" t="s">
        <v>159</v>
      </c>
      <c r="F7" s="99">
        <v>0.3263888888888889</v>
      </c>
      <c r="G7" s="99">
        <v>0.7125</v>
      </c>
      <c r="H7" s="100"/>
      <c r="I7" s="92" t="str">
        <f>IFERROR(VLOOKUP(D7,'Công T5'!$C$7:$F$89,4,0),"")</f>
        <v>ĐT</v>
      </c>
      <c r="J7" s="92">
        <f t="shared" si="8"/>
        <v>0.3263888889</v>
      </c>
      <c r="K7" s="92">
        <f t="shared" si="1"/>
        <v>0.7125</v>
      </c>
      <c r="L7" s="92" t="str">
        <f>IFERROR(VLOOKUP(D7,'Công T5'!$C$7:$F$89,2,0),"")</f>
        <v/>
      </c>
      <c r="M7" s="92" t="str">
        <f>IFERROR(VLOOKUP(D7,'Công T5'!$C$7:$F$89,3,0),"")</f>
        <v/>
      </c>
      <c r="N7" s="92">
        <f t="shared" si="9"/>
        <v>0.3333333333</v>
      </c>
      <c r="O7" s="92">
        <f t="shared" si="2"/>
        <v>0.7083333333</v>
      </c>
      <c r="P7" s="94">
        <f t="shared" si="3"/>
        <v>0.5</v>
      </c>
      <c r="Q7" s="94">
        <f t="shared" si="4"/>
        <v>0.5</v>
      </c>
      <c r="R7" s="95">
        <f t="shared" si="5"/>
        <v>1</v>
      </c>
      <c r="S7" s="95">
        <f t="shared" si="6"/>
        <v>0</v>
      </c>
      <c r="T7" s="95">
        <f t="shared" si="7"/>
        <v>0</v>
      </c>
    </row>
    <row r="8">
      <c r="A8" s="96">
        <v>3.0</v>
      </c>
      <c r="B8" s="97">
        <v>44679.0</v>
      </c>
      <c r="C8" s="96">
        <v>10044.0</v>
      </c>
      <c r="D8" s="98" t="s">
        <v>55</v>
      </c>
      <c r="E8" s="98" t="s">
        <v>159</v>
      </c>
      <c r="F8" s="99">
        <v>0.32569444444444445</v>
      </c>
      <c r="G8" s="99">
        <v>0.7138888888888889</v>
      </c>
      <c r="H8" s="100"/>
      <c r="I8" s="92" t="str">
        <f>IFERROR(VLOOKUP(D8,'Công T5'!$C$7:$F$89,4,0),"")</f>
        <v>ĐT</v>
      </c>
      <c r="J8" s="92">
        <f t="shared" si="8"/>
        <v>0.3256944444</v>
      </c>
      <c r="K8" s="92">
        <f t="shared" si="1"/>
        <v>0.7138888889</v>
      </c>
      <c r="L8" s="92" t="str">
        <f>IFERROR(VLOOKUP(D8,'Công T5'!$C$7:$F$89,2,0),"")</f>
        <v/>
      </c>
      <c r="M8" s="92" t="str">
        <f>IFERROR(VLOOKUP(D8,'Công T5'!$C$7:$F$89,3,0),"")</f>
        <v/>
      </c>
      <c r="N8" s="92">
        <f t="shared" si="9"/>
        <v>0.3333333333</v>
      </c>
      <c r="O8" s="92">
        <f t="shared" si="2"/>
        <v>0.7083333333</v>
      </c>
      <c r="P8" s="94">
        <f t="shared" si="3"/>
        <v>0.5</v>
      </c>
      <c r="Q8" s="94">
        <f t="shared" si="4"/>
        <v>0.5</v>
      </c>
      <c r="R8" s="95">
        <f t="shared" si="5"/>
        <v>1</v>
      </c>
      <c r="S8" s="95">
        <f t="shared" si="6"/>
        <v>0</v>
      </c>
      <c r="T8" s="95">
        <f t="shared" si="7"/>
        <v>0</v>
      </c>
    </row>
    <row r="9">
      <c r="A9" s="96">
        <v>4.0</v>
      </c>
      <c r="B9" s="97">
        <v>44680.0</v>
      </c>
      <c r="C9" s="96">
        <v>10044.0</v>
      </c>
      <c r="D9" s="98" t="s">
        <v>55</v>
      </c>
      <c r="E9" s="98" t="s">
        <v>159</v>
      </c>
      <c r="F9" s="99">
        <v>0.32708333333333334</v>
      </c>
      <c r="G9" s="99">
        <v>0.7118055555555556</v>
      </c>
      <c r="H9" s="100"/>
      <c r="I9" s="92" t="str">
        <f>IFERROR(VLOOKUP(D9,'Công T5'!$C$7:$F$89,4,0),"")</f>
        <v>ĐT</v>
      </c>
      <c r="J9" s="92">
        <f t="shared" si="8"/>
        <v>0.3270833333</v>
      </c>
      <c r="K9" s="92">
        <f t="shared" si="1"/>
        <v>0.7118055556</v>
      </c>
      <c r="L9" s="92" t="str">
        <f>IFERROR(VLOOKUP(D9,'Công T5'!$C$7:$F$89,2,0),"")</f>
        <v/>
      </c>
      <c r="M9" s="92" t="str">
        <f>IFERROR(VLOOKUP(D9,'Công T5'!$C$7:$F$89,3,0),"")</f>
        <v/>
      </c>
      <c r="N9" s="92">
        <f t="shared" si="9"/>
        <v>0.3333333333</v>
      </c>
      <c r="O9" s="92">
        <f t="shared" si="2"/>
        <v>0.7083333333</v>
      </c>
      <c r="P9" s="94">
        <f t="shared" si="3"/>
        <v>0.5</v>
      </c>
      <c r="Q9" s="94">
        <f t="shared" si="4"/>
        <v>0.5</v>
      </c>
      <c r="R9" s="95">
        <f t="shared" si="5"/>
        <v>1</v>
      </c>
      <c r="S9" s="95">
        <f t="shared" si="6"/>
        <v>0</v>
      </c>
      <c r="T9" s="95">
        <f t="shared" si="7"/>
        <v>0</v>
      </c>
    </row>
    <row r="10">
      <c r="A10" s="96">
        <v>5.0</v>
      </c>
      <c r="B10" s="97">
        <v>44685.0</v>
      </c>
      <c r="C10" s="96">
        <v>10044.0</v>
      </c>
      <c r="D10" s="98" t="s">
        <v>55</v>
      </c>
      <c r="E10" s="98" t="s">
        <v>159</v>
      </c>
      <c r="F10" s="99">
        <v>0.3263888888888889</v>
      </c>
      <c r="G10" s="99">
        <v>0.7131944444444445</v>
      </c>
      <c r="H10" s="101"/>
      <c r="I10" s="92" t="str">
        <f>IFERROR(VLOOKUP(D10,'Công T5'!$C$7:$F$89,4,0),"")</f>
        <v>ĐT</v>
      </c>
      <c r="J10" s="92">
        <f t="shared" si="8"/>
        <v>0.3263888889</v>
      </c>
      <c r="K10" s="92">
        <f t="shared" si="1"/>
        <v>0.7131944444</v>
      </c>
      <c r="L10" s="92" t="str">
        <f>IFERROR(VLOOKUP(D10,'Công T5'!$C$7:$F$89,2,0),"")</f>
        <v/>
      </c>
      <c r="M10" s="92" t="str">
        <f>IFERROR(VLOOKUP(D10,'Công T5'!$C$7:$F$89,3,0),"")</f>
        <v/>
      </c>
      <c r="N10" s="92">
        <f t="shared" si="9"/>
        <v>0.3333333333</v>
      </c>
      <c r="O10" s="92">
        <f t="shared" si="2"/>
        <v>0.7083333333</v>
      </c>
      <c r="P10" s="94">
        <f t="shared" si="3"/>
        <v>0.5</v>
      </c>
      <c r="Q10" s="94">
        <f t="shared" si="4"/>
        <v>0.5</v>
      </c>
      <c r="R10" s="95">
        <f t="shared" si="5"/>
        <v>1</v>
      </c>
      <c r="S10" s="95">
        <f t="shared" si="6"/>
        <v>0</v>
      </c>
      <c r="T10" s="95">
        <f t="shared" si="7"/>
        <v>0</v>
      </c>
    </row>
    <row r="11">
      <c r="A11" s="96">
        <v>6.0</v>
      </c>
      <c r="B11" s="97">
        <v>44686.0</v>
      </c>
      <c r="C11" s="96">
        <v>10044.0</v>
      </c>
      <c r="D11" s="98" t="s">
        <v>55</v>
      </c>
      <c r="E11" s="98" t="s">
        <v>159</v>
      </c>
      <c r="F11" s="99">
        <v>0.32430555555555557</v>
      </c>
      <c r="G11" s="99">
        <v>0.7125</v>
      </c>
      <c r="H11" s="101"/>
      <c r="I11" s="92" t="str">
        <f>IFERROR(VLOOKUP(D11,'Công T5'!$C$7:$F$89,4,0),"")</f>
        <v>ĐT</v>
      </c>
      <c r="J11" s="92">
        <f t="shared" si="8"/>
        <v>0.3243055556</v>
      </c>
      <c r="K11" s="92">
        <f t="shared" si="1"/>
        <v>0.7125</v>
      </c>
      <c r="L11" s="92" t="str">
        <f>IFERROR(VLOOKUP(D11,'Công T5'!$C$7:$F$89,2,0),"")</f>
        <v/>
      </c>
      <c r="M11" s="92" t="str">
        <f>IFERROR(VLOOKUP(D11,'Công T5'!$C$7:$F$89,3,0),"")</f>
        <v/>
      </c>
      <c r="N11" s="92">
        <f t="shared" si="9"/>
        <v>0.3333333333</v>
      </c>
      <c r="O11" s="92">
        <f t="shared" si="2"/>
        <v>0.7083333333</v>
      </c>
      <c r="P11" s="94">
        <f t="shared" si="3"/>
        <v>0.5</v>
      </c>
      <c r="Q11" s="94">
        <f t="shared" si="4"/>
        <v>0.5</v>
      </c>
      <c r="R11" s="95">
        <f t="shared" si="5"/>
        <v>1</v>
      </c>
      <c r="S11" s="95">
        <f t="shared" si="6"/>
        <v>0</v>
      </c>
      <c r="T11" s="95">
        <f t="shared" si="7"/>
        <v>0</v>
      </c>
    </row>
    <row r="12">
      <c r="A12" s="96">
        <v>7.0</v>
      </c>
      <c r="B12" s="97">
        <v>44687.0</v>
      </c>
      <c r="C12" s="96">
        <v>10044.0</v>
      </c>
      <c r="D12" s="98" t="s">
        <v>55</v>
      </c>
      <c r="E12" s="98" t="s">
        <v>159</v>
      </c>
      <c r="F12" s="99">
        <v>0.32708333333333334</v>
      </c>
      <c r="G12" s="99">
        <v>0.7125</v>
      </c>
      <c r="H12" s="101"/>
      <c r="I12" s="92" t="str">
        <f>IFERROR(VLOOKUP(D12,'Công T5'!$C$7:$F$89,4,0),"")</f>
        <v>ĐT</v>
      </c>
      <c r="J12" s="92">
        <f t="shared" si="8"/>
        <v>0.3270833333</v>
      </c>
      <c r="K12" s="92">
        <f t="shared" si="1"/>
        <v>0.7125</v>
      </c>
      <c r="L12" s="92" t="str">
        <f>IFERROR(VLOOKUP(D12,'Công T5'!$C$7:$F$89,2,0),"")</f>
        <v/>
      </c>
      <c r="M12" s="92" t="str">
        <f>IFERROR(VLOOKUP(D12,'Công T5'!$C$7:$F$89,3,0),"")</f>
        <v/>
      </c>
      <c r="N12" s="92">
        <f t="shared" si="9"/>
        <v>0.3333333333</v>
      </c>
      <c r="O12" s="92">
        <f t="shared" si="2"/>
        <v>0.7083333333</v>
      </c>
      <c r="P12" s="94">
        <f t="shared" si="3"/>
        <v>0.5</v>
      </c>
      <c r="Q12" s="94">
        <f t="shared" si="4"/>
        <v>0.5</v>
      </c>
      <c r="R12" s="95">
        <f t="shared" si="5"/>
        <v>1</v>
      </c>
      <c r="S12" s="95">
        <f t="shared" si="6"/>
        <v>0</v>
      </c>
      <c r="T12" s="95">
        <f t="shared" si="7"/>
        <v>0</v>
      </c>
    </row>
    <row r="13">
      <c r="A13" s="96">
        <v>8.0</v>
      </c>
      <c r="B13" s="97">
        <v>44688.0</v>
      </c>
      <c r="C13" s="96">
        <v>10044.0</v>
      </c>
      <c r="D13" s="98" t="s">
        <v>55</v>
      </c>
      <c r="E13" s="98" t="s">
        <v>159</v>
      </c>
      <c r="F13" s="99">
        <v>0.32430555555555557</v>
      </c>
      <c r="G13" s="99">
        <v>0.7111111111111111</v>
      </c>
      <c r="H13" s="101"/>
      <c r="I13" s="92" t="str">
        <f>IFERROR(VLOOKUP(D13,'Công T5'!$C$7:$F$89,4,0),"")</f>
        <v>ĐT</v>
      </c>
      <c r="J13" s="92">
        <f t="shared" si="8"/>
        <v>0.3243055556</v>
      </c>
      <c r="K13" s="92">
        <f t="shared" si="1"/>
        <v>0.7111111111</v>
      </c>
      <c r="L13" s="92" t="str">
        <f>IFERROR(VLOOKUP(D13,'Công T5'!$C$7:$F$89,2,0),"")</f>
        <v/>
      </c>
      <c r="M13" s="92" t="str">
        <f>IFERROR(VLOOKUP(D13,'Công T5'!$C$7:$F$89,3,0),"")</f>
        <v/>
      </c>
      <c r="N13" s="92">
        <f t="shared" si="9"/>
        <v>0.3333333333</v>
      </c>
      <c r="O13" s="92">
        <f t="shared" si="2"/>
        <v>0.7083333333</v>
      </c>
      <c r="P13" s="94">
        <f t="shared" si="3"/>
        <v>0.5</v>
      </c>
      <c r="Q13" s="94">
        <f t="shared" si="4"/>
        <v>0.5</v>
      </c>
      <c r="R13" s="95">
        <f t="shared" si="5"/>
        <v>1</v>
      </c>
      <c r="S13" s="95">
        <f t="shared" si="6"/>
        <v>0</v>
      </c>
      <c r="T13" s="95">
        <f t="shared" si="7"/>
        <v>0</v>
      </c>
    </row>
    <row r="14">
      <c r="A14" s="96">
        <v>9.0</v>
      </c>
      <c r="B14" s="97">
        <v>44690.0</v>
      </c>
      <c r="C14" s="96">
        <v>10044.0</v>
      </c>
      <c r="D14" s="98" t="s">
        <v>55</v>
      </c>
      <c r="E14" s="98" t="s">
        <v>159</v>
      </c>
      <c r="F14" s="99">
        <v>0.3277777777777778</v>
      </c>
      <c r="G14" s="99">
        <v>0.7111111111111111</v>
      </c>
      <c r="H14" s="101"/>
      <c r="I14" s="92" t="str">
        <f>IFERROR(VLOOKUP(D14,'Công T5'!$C$7:$F$89,4,0),"")</f>
        <v>ĐT</v>
      </c>
      <c r="J14" s="92">
        <f t="shared" si="8"/>
        <v>0.3277777778</v>
      </c>
      <c r="K14" s="92">
        <f t="shared" si="1"/>
        <v>0.7111111111</v>
      </c>
      <c r="L14" s="92" t="str">
        <f>IFERROR(VLOOKUP(D14,'Công T5'!$C$7:$F$89,2,0),"")</f>
        <v/>
      </c>
      <c r="M14" s="92" t="str">
        <f>IFERROR(VLOOKUP(D14,'Công T5'!$C$7:$F$89,3,0),"")</f>
        <v/>
      </c>
      <c r="N14" s="92">
        <f t="shared" si="9"/>
        <v>0.3333333333</v>
      </c>
      <c r="O14" s="92">
        <f t="shared" si="2"/>
        <v>0.7083333333</v>
      </c>
      <c r="P14" s="94">
        <f t="shared" si="3"/>
        <v>0.5</v>
      </c>
      <c r="Q14" s="94">
        <f t="shared" si="4"/>
        <v>0.5</v>
      </c>
      <c r="R14" s="95">
        <f t="shared" si="5"/>
        <v>1</v>
      </c>
      <c r="S14" s="95">
        <f t="shared" si="6"/>
        <v>0</v>
      </c>
      <c r="T14" s="95">
        <f t="shared" si="7"/>
        <v>0</v>
      </c>
    </row>
    <row r="15">
      <c r="A15" s="96">
        <v>10.0</v>
      </c>
      <c r="B15" s="97">
        <v>44691.0</v>
      </c>
      <c r="C15" s="96">
        <v>10044.0</v>
      </c>
      <c r="D15" s="98" t="s">
        <v>55</v>
      </c>
      <c r="E15" s="98" t="s">
        <v>159</v>
      </c>
      <c r="F15" s="99">
        <v>0.3284722222222222</v>
      </c>
      <c r="G15" s="99">
        <v>0.5006944444444444</v>
      </c>
      <c r="H15" s="101"/>
      <c r="I15" s="92" t="str">
        <f>IFERROR(VLOOKUP(D15,'Công T5'!$C$7:$F$89,4,0),"")</f>
        <v>ĐT</v>
      </c>
      <c r="J15" s="92">
        <f t="shared" si="8"/>
        <v>0.3284722222</v>
      </c>
      <c r="K15" s="92">
        <f t="shared" si="1"/>
        <v>0.5006944444</v>
      </c>
      <c r="L15" s="92" t="str">
        <f>IFERROR(VLOOKUP(D15,'Công T5'!$C$7:$F$89,2,0),"")</f>
        <v/>
      </c>
      <c r="M15" s="92" t="str">
        <f>IFERROR(VLOOKUP(D15,'Công T5'!$C$7:$F$89,3,0),"")</f>
        <v/>
      </c>
      <c r="N15" s="92">
        <f t="shared" si="9"/>
        <v>0.3333333333</v>
      </c>
      <c r="O15" s="92">
        <f t="shared" si="2"/>
        <v>0.5</v>
      </c>
      <c r="P15" s="94">
        <f t="shared" si="3"/>
        <v>0.5</v>
      </c>
      <c r="Q15" s="94">
        <f t="shared" si="4"/>
        <v>0</v>
      </c>
      <c r="R15" s="95">
        <f t="shared" si="5"/>
        <v>0.5</v>
      </c>
      <c r="S15" s="95">
        <f t="shared" si="6"/>
        <v>0</v>
      </c>
      <c r="T15" s="95">
        <f t="shared" si="7"/>
        <v>0</v>
      </c>
    </row>
    <row r="16">
      <c r="A16" s="96">
        <v>11.0</v>
      </c>
      <c r="B16" s="97">
        <v>44692.0</v>
      </c>
      <c r="C16" s="96">
        <v>10044.0</v>
      </c>
      <c r="D16" s="98" t="s">
        <v>55</v>
      </c>
      <c r="E16" s="98" t="s">
        <v>159</v>
      </c>
      <c r="F16" s="99">
        <v>0.3284722222222222</v>
      </c>
      <c r="G16" s="99">
        <v>0.7145833333333333</v>
      </c>
      <c r="H16" s="101"/>
      <c r="I16" s="92" t="str">
        <f>IFERROR(VLOOKUP(D16,'Công T5'!$C$7:$F$89,4,0),"")</f>
        <v>ĐT</v>
      </c>
      <c r="J16" s="92">
        <f t="shared" si="8"/>
        <v>0.3284722222</v>
      </c>
      <c r="K16" s="92">
        <f t="shared" si="1"/>
        <v>0.7145833333</v>
      </c>
      <c r="L16" s="92" t="str">
        <f>IFERROR(VLOOKUP(D16,'Công T5'!$C$7:$F$89,2,0),"")</f>
        <v/>
      </c>
      <c r="M16" s="92" t="str">
        <f>IFERROR(VLOOKUP(D16,'Công T5'!$C$7:$F$89,3,0),"")</f>
        <v/>
      </c>
      <c r="N16" s="92">
        <f t="shared" si="9"/>
        <v>0.3333333333</v>
      </c>
      <c r="O16" s="92">
        <f t="shared" si="2"/>
        <v>0.7083333333</v>
      </c>
      <c r="P16" s="94">
        <f t="shared" si="3"/>
        <v>0.5</v>
      </c>
      <c r="Q16" s="94">
        <f t="shared" si="4"/>
        <v>0.5</v>
      </c>
      <c r="R16" s="95">
        <f t="shared" si="5"/>
        <v>1</v>
      </c>
      <c r="S16" s="95">
        <f t="shared" si="6"/>
        <v>0</v>
      </c>
      <c r="T16" s="95">
        <f t="shared" si="7"/>
        <v>0</v>
      </c>
    </row>
    <row r="17">
      <c r="A17" s="96">
        <v>12.0</v>
      </c>
      <c r="B17" s="97">
        <v>44693.0</v>
      </c>
      <c r="C17" s="96">
        <v>10044.0</v>
      </c>
      <c r="D17" s="98" t="s">
        <v>55</v>
      </c>
      <c r="E17" s="98" t="s">
        <v>159</v>
      </c>
      <c r="F17" s="99">
        <v>0.3277777777777778</v>
      </c>
      <c r="G17" s="99">
        <v>0.7118055555555556</v>
      </c>
      <c r="H17" s="101"/>
      <c r="I17" s="92" t="str">
        <f>IFERROR(VLOOKUP(D17,'Công T5'!$C$7:$F$89,4,0),"")</f>
        <v>ĐT</v>
      </c>
      <c r="J17" s="92">
        <f t="shared" si="8"/>
        <v>0.3277777778</v>
      </c>
      <c r="K17" s="92">
        <f t="shared" si="1"/>
        <v>0.7118055556</v>
      </c>
      <c r="L17" s="92" t="str">
        <f>IFERROR(VLOOKUP(D17,'Công T5'!$C$7:$F$89,2,0),"")</f>
        <v/>
      </c>
      <c r="M17" s="92" t="str">
        <f>IFERROR(VLOOKUP(D17,'Công T5'!$C$7:$F$89,3,0),"")</f>
        <v/>
      </c>
      <c r="N17" s="92">
        <f t="shared" si="9"/>
        <v>0.3333333333</v>
      </c>
      <c r="O17" s="92">
        <f t="shared" si="2"/>
        <v>0.7083333333</v>
      </c>
      <c r="P17" s="94">
        <f t="shared" si="3"/>
        <v>0.5</v>
      </c>
      <c r="Q17" s="94">
        <f t="shared" si="4"/>
        <v>0.5</v>
      </c>
      <c r="R17" s="95">
        <f t="shared" si="5"/>
        <v>1</v>
      </c>
      <c r="S17" s="95">
        <f t="shared" si="6"/>
        <v>0</v>
      </c>
      <c r="T17" s="95">
        <f t="shared" si="7"/>
        <v>0</v>
      </c>
    </row>
    <row r="18">
      <c r="A18" s="96">
        <v>13.0</v>
      </c>
      <c r="B18" s="97">
        <v>44694.0</v>
      </c>
      <c r="C18" s="96">
        <v>10044.0</v>
      </c>
      <c r="D18" s="98" t="s">
        <v>55</v>
      </c>
      <c r="E18" s="98" t="s">
        <v>159</v>
      </c>
      <c r="F18" s="99">
        <v>0.3263888888888889</v>
      </c>
      <c r="G18" s="99">
        <v>0.7111111111111111</v>
      </c>
      <c r="H18" s="101"/>
      <c r="I18" s="92" t="str">
        <f>IFERROR(VLOOKUP(D18,'Công T5'!$C$7:$F$89,4,0),"")</f>
        <v>ĐT</v>
      </c>
      <c r="J18" s="92">
        <f t="shared" si="8"/>
        <v>0.3263888889</v>
      </c>
      <c r="K18" s="92">
        <f t="shared" si="1"/>
        <v>0.7111111111</v>
      </c>
      <c r="L18" s="92" t="str">
        <f>IFERROR(VLOOKUP(D18,'Công T5'!$C$7:$F$89,2,0),"")</f>
        <v/>
      </c>
      <c r="M18" s="92" t="str">
        <f>IFERROR(VLOOKUP(D18,'Công T5'!$C$7:$F$89,3,0),"")</f>
        <v/>
      </c>
      <c r="N18" s="92">
        <f t="shared" si="9"/>
        <v>0.3333333333</v>
      </c>
      <c r="O18" s="92">
        <f t="shared" si="2"/>
        <v>0.7083333333</v>
      </c>
      <c r="P18" s="94">
        <f t="shared" si="3"/>
        <v>0.5</v>
      </c>
      <c r="Q18" s="94">
        <f t="shared" si="4"/>
        <v>0.5</v>
      </c>
      <c r="R18" s="95">
        <f t="shared" si="5"/>
        <v>1</v>
      </c>
      <c r="S18" s="95">
        <f t="shared" si="6"/>
        <v>0</v>
      </c>
      <c r="T18" s="95">
        <f t="shared" si="7"/>
        <v>0</v>
      </c>
    </row>
    <row r="19">
      <c r="A19" s="96">
        <v>14.0</v>
      </c>
      <c r="B19" s="97">
        <v>44697.0</v>
      </c>
      <c r="C19" s="96">
        <v>10044.0</v>
      </c>
      <c r="D19" s="98" t="s">
        <v>55</v>
      </c>
      <c r="E19" s="98" t="s">
        <v>159</v>
      </c>
      <c r="F19" s="99">
        <v>0.3284722222222222</v>
      </c>
      <c r="G19" s="99">
        <v>0.7118055555555556</v>
      </c>
      <c r="H19" s="101"/>
      <c r="I19" s="92" t="str">
        <f>IFERROR(VLOOKUP(D19,'Công T5'!$C$7:$F$89,4,0),"")</f>
        <v>ĐT</v>
      </c>
      <c r="J19" s="92">
        <f t="shared" si="8"/>
        <v>0.3284722222</v>
      </c>
      <c r="K19" s="92">
        <f t="shared" si="1"/>
        <v>0.7118055556</v>
      </c>
      <c r="L19" s="92" t="str">
        <f>IFERROR(VLOOKUP(D19,'Công T5'!$C$7:$F$89,2,0),"")</f>
        <v/>
      </c>
      <c r="M19" s="92" t="str">
        <f>IFERROR(VLOOKUP(D19,'Công T5'!$C$7:$F$89,3,0),"")</f>
        <v/>
      </c>
      <c r="N19" s="92">
        <f t="shared" si="9"/>
        <v>0.3333333333</v>
      </c>
      <c r="O19" s="92">
        <f t="shared" si="2"/>
        <v>0.7083333333</v>
      </c>
      <c r="P19" s="94">
        <f t="shared" si="3"/>
        <v>0.5</v>
      </c>
      <c r="Q19" s="94">
        <f t="shared" si="4"/>
        <v>0.5</v>
      </c>
      <c r="R19" s="95">
        <f t="shared" si="5"/>
        <v>1</v>
      </c>
      <c r="S19" s="95">
        <f t="shared" si="6"/>
        <v>0</v>
      </c>
      <c r="T19" s="95">
        <f t="shared" si="7"/>
        <v>0</v>
      </c>
    </row>
    <row r="20">
      <c r="A20" s="96">
        <v>15.0</v>
      </c>
      <c r="B20" s="97">
        <v>44698.0</v>
      </c>
      <c r="C20" s="96">
        <v>10044.0</v>
      </c>
      <c r="D20" s="98" t="s">
        <v>55</v>
      </c>
      <c r="E20" s="98" t="s">
        <v>159</v>
      </c>
      <c r="F20" s="99">
        <v>0.32708333333333334</v>
      </c>
      <c r="G20" s="99">
        <v>0.7111111111111111</v>
      </c>
      <c r="H20" s="101"/>
      <c r="I20" s="92" t="str">
        <f>IFERROR(VLOOKUP(D20,'Công T5'!$C$7:$F$89,4,0),"")</f>
        <v>ĐT</v>
      </c>
      <c r="J20" s="92">
        <f t="shared" si="8"/>
        <v>0.3270833333</v>
      </c>
      <c r="K20" s="92">
        <f t="shared" si="1"/>
        <v>0.7111111111</v>
      </c>
      <c r="L20" s="92" t="str">
        <f>IFERROR(VLOOKUP(D20,'Công T5'!$C$7:$F$89,2,0),"")</f>
        <v/>
      </c>
      <c r="M20" s="92" t="str">
        <f>IFERROR(VLOOKUP(D20,'Công T5'!$C$7:$F$89,3,0),"")</f>
        <v/>
      </c>
      <c r="N20" s="92">
        <f t="shared" si="9"/>
        <v>0.3333333333</v>
      </c>
      <c r="O20" s="92">
        <f t="shared" si="2"/>
        <v>0.7083333333</v>
      </c>
      <c r="P20" s="94">
        <f t="shared" si="3"/>
        <v>0.5</v>
      </c>
      <c r="Q20" s="94">
        <f t="shared" si="4"/>
        <v>0.5</v>
      </c>
      <c r="R20" s="95">
        <f t="shared" si="5"/>
        <v>1</v>
      </c>
      <c r="S20" s="95">
        <f t="shared" si="6"/>
        <v>0</v>
      </c>
      <c r="T20" s="95">
        <f t="shared" si="7"/>
        <v>0</v>
      </c>
    </row>
    <row r="21">
      <c r="A21" s="96">
        <v>16.0</v>
      </c>
      <c r="B21" s="97">
        <v>44699.0</v>
      </c>
      <c r="C21" s="96">
        <v>10044.0</v>
      </c>
      <c r="D21" s="98" t="s">
        <v>55</v>
      </c>
      <c r="E21" s="98" t="s">
        <v>159</v>
      </c>
      <c r="F21" s="99">
        <v>0.32708333333333334</v>
      </c>
      <c r="G21" s="99">
        <v>0.7131944444444445</v>
      </c>
      <c r="H21" s="101"/>
      <c r="I21" s="92" t="str">
        <f>IFERROR(VLOOKUP(D21,'Công T5'!$C$7:$F$89,4,0),"")</f>
        <v>ĐT</v>
      </c>
      <c r="J21" s="92">
        <f t="shared" si="8"/>
        <v>0.3270833333</v>
      </c>
      <c r="K21" s="92">
        <f t="shared" si="1"/>
        <v>0.7131944444</v>
      </c>
      <c r="L21" s="92" t="str">
        <f>IFERROR(VLOOKUP(D21,'Công T5'!$C$7:$F$89,2,0),"")</f>
        <v/>
      </c>
      <c r="M21" s="92" t="str">
        <f>IFERROR(VLOOKUP(D21,'Công T5'!$C$7:$F$89,3,0),"")</f>
        <v/>
      </c>
      <c r="N21" s="92">
        <f t="shared" si="9"/>
        <v>0.3333333333</v>
      </c>
      <c r="O21" s="92">
        <f t="shared" si="2"/>
        <v>0.7083333333</v>
      </c>
      <c r="P21" s="94">
        <f t="shared" si="3"/>
        <v>0.5</v>
      </c>
      <c r="Q21" s="94">
        <f t="shared" si="4"/>
        <v>0.5</v>
      </c>
      <c r="R21" s="95">
        <f t="shared" si="5"/>
        <v>1</v>
      </c>
      <c r="S21" s="95">
        <f t="shared" si="6"/>
        <v>0</v>
      </c>
      <c r="T21" s="95">
        <f t="shared" si="7"/>
        <v>0</v>
      </c>
    </row>
    <row r="22">
      <c r="A22" s="96">
        <v>17.0</v>
      </c>
      <c r="B22" s="97">
        <v>44700.0</v>
      </c>
      <c r="C22" s="96">
        <v>10044.0</v>
      </c>
      <c r="D22" s="98" t="s">
        <v>55</v>
      </c>
      <c r="E22" s="98" t="s">
        <v>159</v>
      </c>
      <c r="F22" s="99">
        <v>0.3277777777777778</v>
      </c>
      <c r="G22" s="99">
        <v>0.7125</v>
      </c>
      <c r="H22" s="101"/>
      <c r="I22" s="92" t="str">
        <f>IFERROR(VLOOKUP(D22,'Công T5'!$C$7:$F$89,4,0),"")</f>
        <v>ĐT</v>
      </c>
      <c r="J22" s="92">
        <f t="shared" si="8"/>
        <v>0.3277777778</v>
      </c>
      <c r="K22" s="92">
        <f t="shared" si="1"/>
        <v>0.7125</v>
      </c>
      <c r="L22" s="92" t="str">
        <f>IFERROR(VLOOKUP(D22,'Công T5'!$C$7:$F$89,2,0),"")</f>
        <v/>
      </c>
      <c r="M22" s="92" t="str">
        <f>IFERROR(VLOOKUP(D22,'Công T5'!$C$7:$F$89,3,0),"")</f>
        <v/>
      </c>
      <c r="N22" s="92">
        <f t="shared" si="9"/>
        <v>0.3333333333</v>
      </c>
      <c r="O22" s="92">
        <f t="shared" si="2"/>
        <v>0.7083333333</v>
      </c>
      <c r="P22" s="94">
        <f t="shared" si="3"/>
        <v>0.5</v>
      </c>
      <c r="Q22" s="94">
        <f t="shared" si="4"/>
        <v>0.5</v>
      </c>
      <c r="R22" s="95">
        <f t="shared" si="5"/>
        <v>1</v>
      </c>
      <c r="S22" s="95">
        <f t="shared" si="6"/>
        <v>0</v>
      </c>
      <c r="T22" s="95">
        <f t="shared" si="7"/>
        <v>0</v>
      </c>
    </row>
    <row r="23">
      <c r="A23" s="96">
        <v>18.0</v>
      </c>
      <c r="B23" s="97">
        <v>44701.0</v>
      </c>
      <c r="C23" s="96">
        <v>10044.0</v>
      </c>
      <c r="D23" s="98" t="s">
        <v>55</v>
      </c>
      <c r="E23" s="98" t="s">
        <v>159</v>
      </c>
      <c r="F23" s="99">
        <v>0.325</v>
      </c>
      <c r="G23" s="99">
        <v>0.7118055555555556</v>
      </c>
      <c r="H23" s="101"/>
      <c r="I23" s="92" t="str">
        <f>IFERROR(VLOOKUP(D23,'Công T5'!$C$7:$F$89,4,0),"")</f>
        <v>ĐT</v>
      </c>
      <c r="J23" s="92">
        <f t="shared" si="8"/>
        <v>0.325</v>
      </c>
      <c r="K23" s="92">
        <f t="shared" si="1"/>
        <v>0.7118055556</v>
      </c>
      <c r="L23" s="92" t="str">
        <f>IFERROR(VLOOKUP(D23,'Công T5'!$C$7:$F$89,2,0),"")</f>
        <v/>
      </c>
      <c r="M23" s="92" t="str">
        <f>IFERROR(VLOOKUP(D23,'Công T5'!$C$7:$F$89,3,0),"")</f>
        <v/>
      </c>
      <c r="N23" s="92">
        <f t="shared" si="9"/>
        <v>0.3333333333</v>
      </c>
      <c r="O23" s="92">
        <f t="shared" si="2"/>
        <v>0.7083333333</v>
      </c>
      <c r="P23" s="94">
        <f t="shared" si="3"/>
        <v>0.5</v>
      </c>
      <c r="Q23" s="94">
        <f t="shared" si="4"/>
        <v>0.5</v>
      </c>
      <c r="R23" s="95">
        <f t="shared" si="5"/>
        <v>1</v>
      </c>
      <c r="S23" s="95">
        <f t="shared" si="6"/>
        <v>0</v>
      </c>
      <c r="T23" s="95">
        <f t="shared" si="7"/>
        <v>0</v>
      </c>
    </row>
    <row r="24">
      <c r="A24" s="96">
        <v>19.0</v>
      </c>
      <c r="B24" s="97">
        <v>44702.0</v>
      </c>
      <c r="C24" s="96">
        <v>10044.0</v>
      </c>
      <c r="D24" s="98" t="s">
        <v>55</v>
      </c>
      <c r="E24" s="98" t="s">
        <v>159</v>
      </c>
      <c r="F24" s="99">
        <v>0.32708333333333334</v>
      </c>
      <c r="G24" s="99">
        <v>0.7138888888888889</v>
      </c>
      <c r="H24" s="101"/>
      <c r="I24" s="92" t="str">
        <f>IFERROR(VLOOKUP(D24,'Công T5'!$C$7:$F$89,4,0),"")</f>
        <v>ĐT</v>
      </c>
      <c r="J24" s="92">
        <f t="shared" si="8"/>
        <v>0.3270833333</v>
      </c>
      <c r="K24" s="92">
        <f t="shared" si="1"/>
        <v>0.7138888889</v>
      </c>
      <c r="L24" s="92" t="str">
        <f>IFERROR(VLOOKUP(D24,'Công T5'!$C$7:$F$89,2,0),"")</f>
        <v/>
      </c>
      <c r="M24" s="92" t="str">
        <f>IFERROR(VLOOKUP(D24,'Công T5'!$C$7:$F$89,3,0),"")</f>
        <v/>
      </c>
      <c r="N24" s="92">
        <f t="shared" si="9"/>
        <v>0.3333333333</v>
      </c>
      <c r="O24" s="92">
        <f t="shared" si="2"/>
        <v>0.7083333333</v>
      </c>
      <c r="P24" s="94">
        <f t="shared" si="3"/>
        <v>0.5</v>
      </c>
      <c r="Q24" s="94">
        <f t="shared" si="4"/>
        <v>0.5</v>
      </c>
      <c r="R24" s="95">
        <f t="shared" si="5"/>
        <v>1</v>
      </c>
      <c r="S24" s="95">
        <f t="shared" si="6"/>
        <v>0</v>
      </c>
      <c r="T24" s="95">
        <f t="shared" si="7"/>
        <v>0</v>
      </c>
    </row>
    <row r="25">
      <c r="A25" s="96">
        <v>20.0</v>
      </c>
      <c r="B25" s="97">
        <v>44704.0</v>
      </c>
      <c r="C25" s="96">
        <v>10044.0</v>
      </c>
      <c r="D25" s="98" t="s">
        <v>55</v>
      </c>
      <c r="E25" s="98" t="s">
        <v>159</v>
      </c>
      <c r="F25" s="99">
        <v>0.33819444444444446</v>
      </c>
      <c r="G25" s="99">
        <v>0.7118055555555556</v>
      </c>
      <c r="H25" s="101"/>
      <c r="I25" s="92" t="str">
        <f>IFERROR(VLOOKUP(D25,'Công T5'!$C$7:$F$89,4,0),"")</f>
        <v>ĐT</v>
      </c>
      <c r="J25" s="92">
        <f t="shared" si="8"/>
        <v>0.3381944444</v>
      </c>
      <c r="K25" s="92">
        <f t="shared" si="1"/>
        <v>0.7118055556</v>
      </c>
      <c r="L25" s="92" t="str">
        <f>IFERROR(VLOOKUP(D25,'Công T5'!$C$7:$F$89,2,0),"")</f>
        <v/>
      </c>
      <c r="M25" s="92" t="str">
        <f>IFERROR(VLOOKUP(D25,'Công T5'!$C$7:$F$89,3,0),"")</f>
        <v/>
      </c>
      <c r="N25" s="92">
        <f t="shared" si="9"/>
        <v>0.3333333333</v>
      </c>
      <c r="O25" s="92">
        <f t="shared" si="2"/>
        <v>0.7083333333</v>
      </c>
      <c r="P25" s="94">
        <f t="shared" si="3"/>
        <v>0.5</v>
      </c>
      <c r="Q25" s="94">
        <f t="shared" si="4"/>
        <v>0.5</v>
      </c>
      <c r="R25" s="95">
        <f t="shared" si="5"/>
        <v>1</v>
      </c>
      <c r="S25" s="95">
        <f t="shared" si="6"/>
        <v>1</v>
      </c>
      <c r="T25" s="95">
        <f t="shared" si="7"/>
        <v>0</v>
      </c>
    </row>
    <row r="26">
      <c r="A26" s="96">
        <v>21.0</v>
      </c>
      <c r="B26" s="97">
        <v>44705.0</v>
      </c>
      <c r="C26" s="96">
        <v>10044.0</v>
      </c>
      <c r="D26" s="98" t="s">
        <v>55</v>
      </c>
      <c r="E26" s="98" t="s">
        <v>159</v>
      </c>
      <c r="F26" s="99">
        <v>0.32708333333333334</v>
      </c>
      <c r="G26" s="99">
        <v>0.7118055555555556</v>
      </c>
      <c r="H26" s="101"/>
      <c r="I26" s="92" t="str">
        <f>IFERROR(VLOOKUP(D26,'Công T5'!$C$7:$F$89,4,0),"")</f>
        <v>ĐT</v>
      </c>
      <c r="J26" s="92">
        <f t="shared" si="8"/>
        <v>0.3270833333</v>
      </c>
      <c r="K26" s="92">
        <f t="shared" si="1"/>
        <v>0.7118055556</v>
      </c>
      <c r="L26" s="92" t="str">
        <f>IFERROR(VLOOKUP(D26,'Công T5'!$C$7:$F$89,2,0),"")</f>
        <v/>
      </c>
      <c r="M26" s="92" t="str">
        <f>IFERROR(VLOOKUP(D26,'Công T5'!$C$7:$F$89,3,0),"")</f>
        <v/>
      </c>
      <c r="N26" s="92">
        <f t="shared" si="9"/>
        <v>0.3333333333</v>
      </c>
      <c r="O26" s="92">
        <f t="shared" si="2"/>
        <v>0.7083333333</v>
      </c>
      <c r="P26" s="94">
        <f t="shared" si="3"/>
        <v>0.5</v>
      </c>
      <c r="Q26" s="94">
        <f t="shared" si="4"/>
        <v>0.5</v>
      </c>
      <c r="R26" s="95">
        <f t="shared" si="5"/>
        <v>1</v>
      </c>
      <c r="S26" s="95">
        <f t="shared" si="6"/>
        <v>0</v>
      </c>
      <c r="T26" s="95">
        <f t="shared" si="7"/>
        <v>0</v>
      </c>
    </row>
    <row r="27">
      <c r="A27" s="96">
        <v>22.0</v>
      </c>
      <c r="B27" s="97">
        <v>44706.0</v>
      </c>
      <c r="C27" s="96">
        <v>10044.0</v>
      </c>
      <c r="D27" s="98" t="s">
        <v>55</v>
      </c>
      <c r="E27" s="98" t="s">
        <v>159</v>
      </c>
      <c r="F27" s="99">
        <v>0.3263888888888889</v>
      </c>
      <c r="G27" s="99">
        <v>0.7111111111111111</v>
      </c>
      <c r="H27" s="101"/>
      <c r="I27" s="92" t="str">
        <f>IFERROR(VLOOKUP(D27,'Công T5'!$C$7:$F$89,4,0),"")</f>
        <v>ĐT</v>
      </c>
      <c r="J27" s="92">
        <f t="shared" si="8"/>
        <v>0.3263888889</v>
      </c>
      <c r="K27" s="92">
        <f t="shared" si="1"/>
        <v>0.7111111111</v>
      </c>
      <c r="L27" s="92" t="str">
        <f>IFERROR(VLOOKUP(D27,'Công T5'!$C$7:$F$89,2,0),"")</f>
        <v/>
      </c>
      <c r="M27" s="92" t="str">
        <f>IFERROR(VLOOKUP(D27,'Công T5'!$C$7:$F$89,3,0),"")</f>
        <v/>
      </c>
      <c r="N27" s="92">
        <f t="shared" si="9"/>
        <v>0.3333333333</v>
      </c>
      <c r="O27" s="92">
        <f t="shared" si="2"/>
        <v>0.7083333333</v>
      </c>
      <c r="P27" s="94">
        <f t="shared" si="3"/>
        <v>0.5</v>
      </c>
      <c r="Q27" s="94">
        <f t="shared" si="4"/>
        <v>0.5</v>
      </c>
      <c r="R27" s="95">
        <f t="shared" si="5"/>
        <v>1</v>
      </c>
      <c r="S27" s="95">
        <f t="shared" si="6"/>
        <v>0</v>
      </c>
      <c r="T27" s="95">
        <f t="shared" si="7"/>
        <v>0</v>
      </c>
    </row>
    <row r="28">
      <c r="A28" s="96">
        <v>23.0</v>
      </c>
      <c r="B28" s="97">
        <v>44677.0</v>
      </c>
      <c r="C28" s="96">
        <v>10404.0</v>
      </c>
      <c r="D28" s="98" t="s">
        <v>58</v>
      </c>
      <c r="E28" s="98" t="s">
        <v>159</v>
      </c>
      <c r="F28" s="99">
        <v>0.32708333333333334</v>
      </c>
      <c r="G28" s="99">
        <v>0.7104166666666667</v>
      </c>
      <c r="H28" s="101"/>
      <c r="I28" s="92" t="str">
        <f>IFERROR(VLOOKUP(D28,'Công T5'!$C$7:$F$89,4,0),"")</f>
        <v>ĐT</v>
      </c>
      <c r="J28" s="92">
        <f t="shared" si="8"/>
        <v>0.3270833333</v>
      </c>
      <c r="K28" s="92">
        <f t="shared" si="1"/>
        <v>0.7104166667</v>
      </c>
      <c r="L28" s="92" t="str">
        <f>IFERROR(VLOOKUP(D28,'Công T5'!$C$7:$F$89,2,0),"")</f>
        <v/>
      </c>
      <c r="M28" s="92" t="str">
        <f>IFERROR(VLOOKUP(D28,'Công T5'!$C$7:$F$89,3,0),"")</f>
        <v/>
      </c>
      <c r="N28" s="92">
        <f t="shared" si="9"/>
        <v>0.3333333333</v>
      </c>
      <c r="O28" s="92">
        <f t="shared" si="2"/>
        <v>0.7083333333</v>
      </c>
      <c r="P28" s="94">
        <f t="shared" si="3"/>
        <v>0.5</v>
      </c>
      <c r="Q28" s="94">
        <f t="shared" si="4"/>
        <v>0.5</v>
      </c>
      <c r="R28" s="95">
        <f t="shared" si="5"/>
        <v>1</v>
      </c>
      <c r="S28" s="95">
        <f t="shared" si="6"/>
        <v>0</v>
      </c>
      <c r="T28" s="95">
        <f t="shared" si="7"/>
        <v>0</v>
      </c>
    </row>
    <row r="29">
      <c r="A29" s="96">
        <v>24.0</v>
      </c>
      <c r="B29" s="97">
        <v>44678.0</v>
      </c>
      <c r="C29" s="96">
        <v>10404.0</v>
      </c>
      <c r="D29" s="98" t="s">
        <v>58</v>
      </c>
      <c r="E29" s="98" t="s">
        <v>159</v>
      </c>
      <c r="F29" s="99">
        <v>0.3277777777777778</v>
      </c>
      <c r="G29" s="99">
        <v>0.7125</v>
      </c>
      <c r="H29" s="101"/>
      <c r="I29" s="92" t="str">
        <f>IFERROR(VLOOKUP(D29,'Công T5'!$C$7:$F$89,4,0),"")</f>
        <v>ĐT</v>
      </c>
      <c r="J29" s="92">
        <f t="shared" si="8"/>
        <v>0.3277777778</v>
      </c>
      <c r="K29" s="92">
        <f t="shared" si="1"/>
        <v>0.7125</v>
      </c>
      <c r="L29" s="92" t="str">
        <f>IFERROR(VLOOKUP(D29,'Công T5'!$C$7:$F$89,2,0),"")</f>
        <v/>
      </c>
      <c r="M29" s="92" t="str">
        <f>IFERROR(VLOOKUP(D29,'Công T5'!$C$7:$F$89,3,0),"")</f>
        <v/>
      </c>
      <c r="N29" s="92">
        <f t="shared" si="9"/>
        <v>0.3333333333</v>
      </c>
      <c r="O29" s="92">
        <f t="shared" si="2"/>
        <v>0.7083333333</v>
      </c>
      <c r="P29" s="94">
        <f t="shared" si="3"/>
        <v>0.5</v>
      </c>
      <c r="Q29" s="94">
        <f t="shared" si="4"/>
        <v>0.5</v>
      </c>
      <c r="R29" s="95">
        <f t="shared" si="5"/>
        <v>1</v>
      </c>
      <c r="S29" s="95">
        <f t="shared" si="6"/>
        <v>0</v>
      </c>
      <c r="T29" s="95">
        <f t="shared" si="7"/>
        <v>0</v>
      </c>
    </row>
    <row r="30">
      <c r="A30" s="96">
        <v>25.0</v>
      </c>
      <c r="B30" s="97">
        <v>44679.0</v>
      </c>
      <c r="C30" s="96">
        <v>10404.0</v>
      </c>
      <c r="D30" s="98" t="s">
        <v>58</v>
      </c>
      <c r="E30" s="98" t="s">
        <v>159</v>
      </c>
      <c r="F30" s="99">
        <v>0.3284722222222222</v>
      </c>
      <c r="G30" s="99">
        <v>0.7166666666666667</v>
      </c>
      <c r="H30" s="101"/>
      <c r="I30" s="92" t="str">
        <f>IFERROR(VLOOKUP(D30,'Công T5'!$C$7:$F$89,4,0),"")</f>
        <v>ĐT</v>
      </c>
      <c r="J30" s="92">
        <f t="shared" si="8"/>
        <v>0.3284722222</v>
      </c>
      <c r="K30" s="92">
        <f t="shared" si="1"/>
        <v>0.7166666667</v>
      </c>
      <c r="L30" s="92" t="str">
        <f>IFERROR(VLOOKUP(D30,'Công T5'!$C$7:$F$89,2,0),"")</f>
        <v/>
      </c>
      <c r="M30" s="92" t="str">
        <f>IFERROR(VLOOKUP(D30,'Công T5'!$C$7:$F$89,3,0),"")</f>
        <v/>
      </c>
      <c r="N30" s="92">
        <f t="shared" si="9"/>
        <v>0.3333333333</v>
      </c>
      <c r="O30" s="92">
        <f t="shared" si="2"/>
        <v>0.7083333333</v>
      </c>
      <c r="P30" s="94">
        <f t="shared" si="3"/>
        <v>0.5</v>
      </c>
      <c r="Q30" s="94">
        <f t="shared" si="4"/>
        <v>0.5</v>
      </c>
      <c r="R30" s="95">
        <f t="shared" si="5"/>
        <v>1</v>
      </c>
      <c r="S30" s="95">
        <f t="shared" si="6"/>
        <v>0</v>
      </c>
      <c r="T30" s="95">
        <f t="shared" si="7"/>
        <v>0</v>
      </c>
    </row>
    <row r="31">
      <c r="A31" s="96">
        <v>26.0</v>
      </c>
      <c r="B31" s="97">
        <v>44680.0</v>
      </c>
      <c r="C31" s="96">
        <v>10404.0</v>
      </c>
      <c r="D31" s="98" t="s">
        <v>58</v>
      </c>
      <c r="E31" s="98" t="s">
        <v>159</v>
      </c>
      <c r="F31" s="99">
        <v>0.33194444444444443</v>
      </c>
      <c r="G31" s="99">
        <v>0.7118055555555556</v>
      </c>
      <c r="H31" s="101"/>
      <c r="I31" s="92" t="str">
        <f>IFERROR(VLOOKUP(D31,'Công T5'!$C$7:$F$89,4,0),"")</f>
        <v>ĐT</v>
      </c>
      <c r="J31" s="92">
        <f t="shared" si="8"/>
        <v>0.3319444444</v>
      </c>
      <c r="K31" s="92">
        <f t="shared" si="1"/>
        <v>0.7118055556</v>
      </c>
      <c r="L31" s="92" t="str">
        <f>IFERROR(VLOOKUP(D31,'Công T5'!$C$7:$F$89,2,0),"")</f>
        <v/>
      </c>
      <c r="M31" s="92" t="str">
        <f>IFERROR(VLOOKUP(D31,'Công T5'!$C$7:$F$89,3,0),"")</f>
        <v/>
      </c>
      <c r="N31" s="92">
        <f t="shared" si="9"/>
        <v>0.3333333333</v>
      </c>
      <c r="O31" s="92">
        <f t="shared" si="2"/>
        <v>0.7083333333</v>
      </c>
      <c r="P31" s="94">
        <f t="shared" si="3"/>
        <v>0.5</v>
      </c>
      <c r="Q31" s="94">
        <f t="shared" si="4"/>
        <v>0.5</v>
      </c>
      <c r="R31" s="95">
        <f t="shared" si="5"/>
        <v>1</v>
      </c>
      <c r="S31" s="95">
        <f t="shared" si="6"/>
        <v>0</v>
      </c>
      <c r="T31" s="95">
        <f t="shared" si="7"/>
        <v>0</v>
      </c>
    </row>
    <row r="32">
      <c r="A32" s="96">
        <v>27.0</v>
      </c>
      <c r="B32" s="97">
        <v>44685.0</v>
      </c>
      <c r="C32" s="96">
        <v>10404.0</v>
      </c>
      <c r="D32" s="98" t="s">
        <v>58</v>
      </c>
      <c r="E32" s="98" t="s">
        <v>159</v>
      </c>
      <c r="F32" s="99">
        <v>0.3541666666666667</v>
      </c>
      <c r="G32" s="99">
        <v>0.7125</v>
      </c>
      <c r="H32" s="101"/>
      <c r="I32" s="92" t="str">
        <f>IFERROR(VLOOKUP(D32,'Công T5'!$C$7:$F$89,4,0),"")</f>
        <v>ĐT</v>
      </c>
      <c r="J32" s="92">
        <f t="shared" si="8"/>
        <v>0.3541666667</v>
      </c>
      <c r="K32" s="92">
        <f t="shared" si="1"/>
        <v>0.7125</v>
      </c>
      <c r="L32" s="92" t="str">
        <f>IFERROR(VLOOKUP(D32,'Công T5'!$C$7:$F$89,2,0),"")</f>
        <v/>
      </c>
      <c r="M32" s="92" t="str">
        <f>IFERROR(VLOOKUP(D32,'Công T5'!$C$7:$F$89,3,0),"")</f>
        <v/>
      </c>
      <c r="N32" s="92">
        <f t="shared" si="9"/>
        <v>0.3333333333</v>
      </c>
      <c r="O32" s="92">
        <f t="shared" si="2"/>
        <v>0.7083333333</v>
      </c>
      <c r="P32" s="94">
        <f t="shared" si="3"/>
        <v>0.5</v>
      </c>
      <c r="Q32" s="94">
        <f t="shared" si="4"/>
        <v>0.5</v>
      </c>
      <c r="R32" s="95">
        <f t="shared" si="5"/>
        <v>1</v>
      </c>
      <c r="S32" s="95">
        <f t="shared" si="6"/>
        <v>1</v>
      </c>
      <c r="T32" s="95">
        <f t="shared" si="7"/>
        <v>0</v>
      </c>
    </row>
    <row r="33">
      <c r="A33" s="96">
        <v>28.0</v>
      </c>
      <c r="B33" s="97">
        <v>44686.0</v>
      </c>
      <c r="C33" s="96">
        <v>10404.0</v>
      </c>
      <c r="D33" s="98" t="s">
        <v>58</v>
      </c>
      <c r="E33" s="98" t="s">
        <v>159</v>
      </c>
      <c r="F33" s="99">
        <v>0.32916666666666666</v>
      </c>
      <c r="G33" s="99">
        <v>0.7118055555555556</v>
      </c>
      <c r="H33" s="101"/>
      <c r="I33" s="92" t="str">
        <f>IFERROR(VLOOKUP(D33,'Công T5'!$C$7:$F$89,4,0),"")</f>
        <v>ĐT</v>
      </c>
      <c r="J33" s="92">
        <f t="shared" si="8"/>
        <v>0.3291666667</v>
      </c>
      <c r="K33" s="92">
        <f t="shared" si="1"/>
        <v>0.7118055556</v>
      </c>
      <c r="L33" s="92" t="str">
        <f>IFERROR(VLOOKUP(D33,'Công T5'!$C$7:$F$89,2,0),"")</f>
        <v/>
      </c>
      <c r="M33" s="92" t="str">
        <f>IFERROR(VLOOKUP(D33,'Công T5'!$C$7:$F$89,3,0),"")</f>
        <v/>
      </c>
      <c r="N33" s="92">
        <f t="shared" si="9"/>
        <v>0.3333333333</v>
      </c>
      <c r="O33" s="92">
        <f t="shared" si="2"/>
        <v>0.7083333333</v>
      </c>
      <c r="P33" s="94">
        <f t="shared" si="3"/>
        <v>0.5</v>
      </c>
      <c r="Q33" s="94">
        <f t="shared" si="4"/>
        <v>0.5</v>
      </c>
      <c r="R33" s="95">
        <f t="shared" si="5"/>
        <v>1</v>
      </c>
      <c r="S33" s="95">
        <f t="shared" si="6"/>
        <v>0</v>
      </c>
      <c r="T33" s="95">
        <f t="shared" si="7"/>
        <v>0</v>
      </c>
    </row>
    <row r="34">
      <c r="A34" s="96">
        <v>29.0</v>
      </c>
      <c r="B34" s="97">
        <v>44687.0</v>
      </c>
      <c r="C34" s="96">
        <v>10404.0</v>
      </c>
      <c r="D34" s="98" t="s">
        <v>58</v>
      </c>
      <c r="E34" s="98" t="s">
        <v>159</v>
      </c>
      <c r="F34" s="99">
        <v>0.3284722222222222</v>
      </c>
      <c r="G34" s="99">
        <v>0.7111111111111111</v>
      </c>
      <c r="H34" s="101"/>
      <c r="I34" s="92" t="str">
        <f>IFERROR(VLOOKUP(D34,'Công T5'!$C$7:$F$89,4,0),"")</f>
        <v>ĐT</v>
      </c>
      <c r="J34" s="92">
        <f t="shared" si="8"/>
        <v>0.3284722222</v>
      </c>
      <c r="K34" s="92">
        <f t="shared" si="1"/>
        <v>0.7111111111</v>
      </c>
      <c r="L34" s="92" t="str">
        <f>IFERROR(VLOOKUP(D34,'Công T5'!$C$7:$F$89,2,0),"")</f>
        <v/>
      </c>
      <c r="M34" s="92" t="str">
        <f>IFERROR(VLOOKUP(D34,'Công T5'!$C$7:$F$89,3,0),"")</f>
        <v/>
      </c>
      <c r="N34" s="92">
        <f t="shared" si="9"/>
        <v>0.3333333333</v>
      </c>
      <c r="O34" s="92">
        <f t="shared" si="2"/>
        <v>0.7083333333</v>
      </c>
      <c r="P34" s="94">
        <f t="shared" si="3"/>
        <v>0.5</v>
      </c>
      <c r="Q34" s="94">
        <f t="shared" si="4"/>
        <v>0.5</v>
      </c>
      <c r="R34" s="95">
        <f t="shared" si="5"/>
        <v>1</v>
      </c>
      <c r="S34" s="95">
        <f t="shared" si="6"/>
        <v>0</v>
      </c>
      <c r="T34" s="95">
        <f t="shared" si="7"/>
        <v>0</v>
      </c>
    </row>
    <row r="35">
      <c r="A35" s="96">
        <v>30.0</v>
      </c>
      <c r="B35" s="97">
        <v>44688.0</v>
      </c>
      <c r="C35" s="96">
        <v>10404.0</v>
      </c>
      <c r="D35" s="98" t="s">
        <v>58</v>
      </c>
      <c r="E35" s="98" t="s">
        <v>159</v>
      </c>
      <c r="F35" s="99">
        <v>0.3277777777777778</v>
      </c>
      <c r="G35" s="99">
        <v>0.7118055555555556</v>
      </c>
      <c r="H35" s="101"/>
      <c r="I35" s="92" t="str">
        <f>IFERROR(VLOOKUP(D35,'Công T5'!$C$7:$F$89,4,0),"")</f>
        <v>ĐT</v>
      </c>
      <c r="J35" s="92">
        <f t="shared" si="8"/>
        <v>0.3277777778</v>
      </c>
      <c r="K35" s="92">
        <f t="shared" si="1"/>
        <v>0.7118055556</v>
      </c>
      <c r="L35" s="92" t="str">
        <f>IFERROR(VLOOKUP(D35,'Công T5'!$C$7:$F$89,2,0),"")</f>
        <v/>
      </c>
      <c r="M35" s="92" t="str">
        <f>IFERROR(VLOOKUP(D35,'Công T5'!$C$7:$F$89,3,0),"")</f>
        <v/>
      </c>
      <c r="N35" s="92">
        <f t="shared" si="9"/>
        <v>0.3333333333</v>
      </c>
      <c r="O35" s="92">
        <f t="shared" si="2"/>
        <v>0.7083333333</v>
      </c>
      <c r="P35" s="94">
        <f t="shared" si="3"/>
        <v>0.5</v>
      </c>
      <c r="Q35" s="94">
        <f t="shared" si="4"/>
        <v>0.5</v>
      </c>
      <c r="R35" s="95">
        <f t="shared" si="5"/>
        <v>1</v>
      </c>
      <c r="S35" s="95">
        <f t="shared" si="6"/>
        <v>0</v>
      </c>
      <c r="T35" s="95">
        <f t="shared" si="7"/>
        <v>0</v>
      </c>
    </row>
    <row r="36">
      <c r="A36" s="96">
        <v>31.0</v>
      </c>
      <c r="B36" s="97">
        <v>44690.0</v>
      </c>
      <c r="C36" s="96">
        <v>10404.0</v>
      </c>
      <c r="D36" s="98" t="s">
        <v>58</v>
      </c>
      <c r="E36" s="98" t="s">
        <v>159</v>
      </c>
      <c r="F36" s="99">
        <v>0.33541666666666664</v>
      </c>
      <c r="G36" s="99">
        <v>0.7104166666666667</v>
      </c>
      <c r="H36" s="101"/>
      <c r="I36" s="92" t="str">
        <f>IFERROR(VLOOKUP(D36,'Công T5'!$C$7:$F$89,4,0),"")</f>
        <v>ĐT</v>
      </c>
      <c r="J36" s="92">
        <f t="shared" si="8"/>
        <v>0.3354166667</v>
      </c>
      <c r="K36" s="92">
        <f t="shared" si="1"/>
        <v>0.7104166667</v>
      </c>
      <c r="L36" s="92" t="str">
        <f>IFERROR(VLOOKUP(D36,'Công T5'!$C$7:$F$89,2,0),"")</f>
        <v/>
      </c>
      <c r="M36" s="92" t="str">
        <f>IFERROR(VLOOKUP(D36,'Công T5'!$C$7:$F$89,3,0),"")</f>
        <v/>
      </c>
      <c r="N36" s="92">
        <f t="shared" si="9"/>
        <v>0.3333333333</v>
      </c>
      <c r="O36" s="92">
        <f t="shared" si="2"/>
        <v>0.7083333333</v>
      </c>
      <c r="P36" s="94">
        <f t="shared" si="3"/>
        <v>0.5</v>
      </c>
      <c r="Q36" s="94">
        <f t="shared" si="4"/>
        <v>0.5</v>
      </c>
      <c r="R36" s="95">
        <f t="shared" si="5"/>
        <v>1</v>
      </c>
      <c r="S36" s="95">
        <f t="shared" si="6"/>
        <v>1</v>
      </c>
      <c r="T36" s="95">
        <f t="shared" si="7"/>
        <v>0</v>
      </c>
    </row>
    <row r="37">
      <c r="A37" s="96">
        <v>32.0</v>
      </c>
      <c r="B37" s="97">
        <v>44691.0</v>
      </c>
      <c r="C37" s="96">
        <v>10404.0</v>
      </c>
      <c r="D37" s="98" t="s">
        <v>58</v>
      </c>
      <c r="E37" s="98" t="s">
        <v>159</v>
      </c>
      <c r="F37" s="99">
        <v>0.32569444444444445</v>
      </c>
      <c r="G37" s="99">
        <v>0.7145833333333333</v>
      </c>
      <c r="H37" s="101"/>
      <c r="I37" s="92" t="str">
        <f>IFERROR(VLOOKUP(D37,'Công T5'!$C$7:$F$89,4,0),"")</f>
        <v>ĐT</v>
      </c>
      <c r="J37" s="92">
        <f t="shared" si="8"/>
        <v>0.3256944444</v>
      </c>
      <c r="K37" s="92">
        <f t="shared" si="1"/>
        <v>0.7145833333</v>
      </c>
      <c r="L37" s="92" t="str">
        <f>IFERROR(VLOOKUP(D37,'Công T5'!$C$7:$F$89,2,0),"")</f>
        <v/>
      </c>
      <c r="M37" s="92" t="str">
        <f>IFERROR(VLOOKUP(D37,'Công T5'!$C$7:$F$89,3,0),"")</f>
        <v/>
      </c>
      <c r="N37" s="92">
        <f t="shared" si="9"/>
        <v>0.3333333333</v>
      </c>
      <c r="O37" s="92">
        <f t="shared" si="2"/>
        <v>0.7083333333</v>
      </c>
      <c r="P37" s="94">
        <f t="shared" si="3"/>
        <v>0.5</v>
      </c>
      <c r="Q37" s="94">
        <f t="shared" si="4"/>
        <v>0.5</v>
      </c>
      <c r="R37" s="95">
        <f t="shared" si="5"/>
        <v>1</v>
      </c>
      <c r="S37" s="95">
        <f t="shared" si="6"/>
        <v>0</v>
      </c>
      <c r="T37" s="95">
        <f t="shared" si="7"/>
        <v>0</v>
      </c>
    </row>
    <row r="38">
      <c r="A38" s="96">
        <v>33.0</v>
      </c>
      <c r="B38" s="97">
        <v>44692.0</v>
      </c>
      <c r="C38" s="96">
        <v>10404.0</v>
      </c>
      <c r="D38" s="98" t="s">
        <v>58</v>
      </c>
      <c r="E38" s="98" t="s">
        <v>159</v>
      </c>
      <c r="F38" s="99">
        <v>0.32708333333333334</v>
      </c>
      <c r="G38" s="99">
        <v>0.7159722222222222</v>
      </c>
      <c r="H38" s="101"/>
      <c r="I38" s="92" t="str">
        <f>IFERROR(VLOOKUP(D38,'Công T5'!$C$7:$F$89,4,0),"")</f>
        <v>ĐT</v>
      </c>
      <c r="J38" s="92">
        <f t="shared" si="8"/>
        <v>0.3270833333</v>
      </c>
      <c r="K38" s="92">
        <f t="shared" si="1"/>
        <v>0.7159722222</v>
      </c>
      <c r="L38" s="92" t="str">
        <f>IFERROR(VLOOKUP(D38,'Công T5'!$C$7:$F$89,2,0),"")</f>
        <v/>
      </c>
      <c r="M38" s="92" t="str">
        <f>IFERROR(VLOOKUP(D38,'Công T5'!$C$7:$F$89,3,0),"")</f>
        <v/>
      </c>
      <c r="N38" s="92">
        <f t="shared" si="9"/>
        <v>0.3333333333</v>
      </c>
      <c r="O38" s="92">
        <f t="shared" si="2"/>
        <v>0.7083333333</v>
      </c>
      <c r="P38" s="94">
        <f t="shared" si="3"/>
        <v>0.5</v>
      </c>
      <c r="Q38" s="94">
        <f t="shared" si="4"/>
        <v>0.5</v>
      </c>
      <c r="R38" s="95">
        <f t="shared" si="5"/>
        <v>1</v>
      </c>
      <c r="S38" s="95">
        <f t="shared" si="6"/>
        <v>0</v>
      </c>
      <c r="T38" s="95">
        <f t="shared" si="7"/>
        <v>0</v>
      </c>
    </row>
    <row r="39">
      <c r="A39" s="96">
        <v>34.0</v>
      </c>
      <c r="B39" s="97">
        <v>44693.0</v>
      </c>
      <c r="C39" s="96">
        <v>10404.0</v>
      </c>
      <c r="D39" s="98" t="s">
        <v>58</v>
      </c>
      <c r="E39" s="98" t="s">
        <v>159</v>
      </c>
      <c r="F39" s="99">
        <v>0.3298611111111111</v>
      </c>
      <c r="G39" s="99">
        <v>0.6847222222222222</v>
      </c>
      <c r="H39" s="101"/>
      <c r="I39" s="92" t="str">
        <f>IFERROR(VLOOKUP(D39,'Công T5'!$C$7:$F$89,4,0),"")</f>
        <v>ĐT</v>
      </c>
      <c r="J39" s="92">
        <f t="shared" si="8"/>
        <v>0.3298611111</v>
      </c>
      <c r="K39" s="92">
        <f t="shared" si="1"/>
        <v>0.6847222222</v>
      </c>
      <c r="L39" s="92" t="str">
        <f>IFERROR(VLOOKUP(D39,'Công T5'!$C$7:$F$89,2,0),"")</f>
        <v/>
      </c>
      <c r="M39" s="92" t="str">
        <f>IFERROR(VLOOKUP(D39,'Công T5'!$C$7:$F$89,3,0),"")</f>
        <v/>
      </c>
      <c r="N39" s="92">
        <f t="shared" si="9"/>
        <v>0.3333333333</v>
      </c>
      <c r="O39" s="92">
        <f t="shared" si="2"/>
        <v>0.6847222222</v>
      </c>
      <c r="P39" s="94">
        <f t="shared" si="3"/>
        <v>0.5</v>
      </c>
      <c r="Q39" s="94">
        <f t="shared" si="4"/>
        <v>0.4291666667</v>
      </c>
      <c r="R39" s="95">
        <f t="shared" si="5"/>
        <v>0.9291666667</v>
      </c>
      <c r="S39" s="95">
        <f t="shared" si="6"/>
        <v>0</v>
      </c>
      <c r="T39" s="95">
        <f t="shared" si="7"/>
        <v>0</v>
      </c>
    </row>
    <row r="40">
      <c r="A40" s="96">
        <v>35.0</v>
      </c>
      <c r="B40" s="97">
        <v>44694.0</v>
      </c>
      <c r="C40" s="96">
        <v>10404.0</v>
      </c>
      <c r="D40" s="98" t="s">
        <v>58</v>
      </c>
      <c r="E40" s="98" t="s">
        <v>159</v>
      </c>
      <c r="F40" s="99">
        <v>0.32222222222222224</v>
      </c>
      <c r="G40" s="99">
        <v>0.7111111111111111</v>
      </c>
      <c r="H40" s="101"/>
      <c r="I40" s="92" t="str">
        <f>IFERROR(VLOOKUP(D40,'Công T5'!$C$7:$F$89,4,0),"")</f>
        <v>ĐT</v>
      </c>
      <c r="J40" s="92">
        <f t="shared" si="8"/>
        <v>0.3222222222</v>
      </c>
      <c r="K40" s="92">
        <f t="shared" si="1"/>
        <v>0.7111111111</v>
      </c>
      <c r="L40" s="92" t="str">
        <f>IFERROR(VLOOKUP(D40,'Công T5'!$C$7:$F$89,2,0),"")</f>
        <v/>
      </c>
      <c r="M40" s="92" t="str">
        <f>IFERROR(VLOOKUP(D40,'Công T5'!$C$7:$F$89,3,0),"")</f>
        <v/>
      </c>
      <c r="N40" s="92">
        <f t="shared" si="9"/>
        <v>0.3333333333</v>
      </c>
      <c r="O40" s="92">
        <f t="shared" si="2"/>
        <v>0.7083333333</v>
      </c>
      <c r="P40" s="94">
        <f t="shared" si="3"/>
        <v>0.5</v>
      </c>
      <c r="Q40" s="94">
        <f t="shared" si="4"/>
        <v>0.5</v>
      </c>
      <c r="R40" s="95">
        <f t="shared" si="5"/>
        <v>1</v>
      </c>
      <c r="S40" s="95">
        <f t="shared" si="6"/>
        <v>0</v>
      </c>
      <c r="T40" s="95">
        <f t="shared" si="7"/>
        <v>0</v>
      </c>
    </row>
    <row r="41">
      <c r="A41" s="96">
        <v>36.0</v>
      </c>
      <c r="B41" s="97">
        <v>44697.0</v>
      </c>
      <c r="C41" s="96">
        <v>10404.0</v>
      </c>
      <c r="D41" s="98" t="s">
        <v>58</v>
      </c>
      <c r="E41" s="98" t="s">
        <v>159</v>
      </c>
      <c r="F41" s="99">
        <v>0.3236111111111111</v>
      </c>
      <c r="G41" s="99">
        <v>0.7125</v>
      </c>
      <c r="H41" s="101"/>
      <c r="I41" s="92" t="str">
        <f>IFERROR(VLOOKUP(D41,'Công T5'!$C$7:$F$89,4,0),"")</f>
        <v>ĐT</v>
      </c>
      <c r="J41" s="92">
        <f t="shared" si="8"/>
        <v>0.3236111111</v>
      </c>
      <c r="K41" s="92">
        <f t="shared" si="1"/>
        <v>0.7125</v>
      </c>
      <c r="L41" s="92" t="str">
        <f>IFERROR(VLOOKUP(D41,'Công T5'!$C$7:$F$89,2,0),"")</f>
        <v/>
      </c>
      <c r="M41" s="92" t="str">
        <f>IFERROR(VLOOKUP(D41,'Công T5'!$C$7:$F$89,3,0),"")</f>
        <v/>
      </c>
      <c r="N41" s="92">
        <f t="shared" si="9"/>
        <v>0.3333333333</v>
      </c>
      <c r="O41" s="92">
        <f t="shared" si="2"/>
        <v>0.7083333333</v>
      </c>
      <c r="P41" s="94">
        <f t="shared" si="3"/>
        <v>0.5</v>
      </c>
      <c r="Q41" s="94">
        <f t="shared" si="4"/>
        <v>0.5</v>
      </c>
      <c r="R41" s="95">
        <f t="shared" si="5"/>
        <v>1</v>
      </c>
      <c r="S41" s="95">
        <f t="shared" si="6"/>
        <v>0</v>
      </c>
      <c r="T41" s="95">
        <f t="shared" si="7"/>
        <v>0</v>
      </c>
    </row>
    <row r="42">
      <c r="A42" s="96">
        <v>37.0</v>
      </c>
      <c r="B42" s="97">
        <v>44698.0</v>
      </c>
      <c r="C42" s="96">
        <v>10404.0</v>
      </c>
      <c r="D42" s="98" t="s">
        <v>58</v>
      </c>
      <c r="E42" s="98" t="s">
        <v>159</v>
      </c>
      <c r="F42" s="99">
        <v>0.3263888888888889</v>
      </c>
      <c r="G42" s="99">
        <v>0.7118055555555556</v>
      </c>
      <c r="H42" s="101"/>
      <c r="I42" s="92" t="str">
        <f>IFERROR(VLOOKUP(D42,'Công T5'!$C$7:$F$89,4,0),"")</f>
        <v>ĐT</v>
      </c>
      <c r="J42" s="92">
        <f t="shared" si="8"/>
        <v>0.3263888889</v>
      </c>
      <c r="K42" s="92">
        <f t="shared" si="1"/>
        <v>0.7118055556</v>
      </c>
      <c r="L42" s="92" t="str">
        <f>IFERROR(VLOOKUP(D42,'Công T5'!$C$7:$F$89,2,0),"")</f>
        <v/>
      </c>
      <c r="M42" s="92" t="str">
        <f>IFERROR(VLOOKUP(D42,'Công T5'!$C$7:$F$89,3,0),"")</f>
        <v/>
      </c>
      <c r="N42" s="92">
        <f t="shared" si="9"/>
        <v>0.3333333333</v>
      </c>
      <c r="O42" s="92">
        <f t="shared" si="2"/>
        <v>0.7083333333</v>
      </c>
      <c r="P42" s="94">
        <f t="shared" si="3"/>
        <v>0.5</v>
      </c>
      <c r="Q42" s="94">
        <f t="shared" si="4"/>
        <v>0.5</v>
      </c>
      <c r="R42" s="95">
        <f t="shared" si="5"/>
        <v>1</v>
      </c>
      <c r="S42" s="95">
        <f t="shared" si="6"/>
        <v>0</v>
      </c>
      <c r="T42" s="95">
        <f t="shared" si="7"/>
        <v>0</v>
      </c>
    </row>
    <row r="43">
      <c r="A43" s="96">
        <v>38.0</v>
      </c>
      <c r="B43" s="97">
        <v>44699.0</v>
      </c>
      <c r="C43" s="96">
        <v>10404.0</v>
      </c>
      <c r="D43" s="98" t="s">
        <v>58</v>
      </c>
      <c r="E43" s="98" t="s">
        <v>159</v>
      </c>
      <c r="F43" s="99">
        <v>0.325</v>
      </c>
      <c r="G43" s="99">
        <v>0.7097222222222223</v>
      </c>
      <c r="H43" s="101"/>
      <c r="I43" s="92" t="str">
        <f>IFERROR(VLOOKUP(D43,'Công T5'!$C$7:$F$89,4,0),"")</f>
        <v>ĐT</v>
      </c>
      <c r="J43" s="92">
        <f t="shared" si="8"/>
        <v>0.325</v>
      </c>
      <c r="K43" s="92">
        <f t="shared" si="1"/>
        <v>0.7097222222</v>
      </c>
      <c r="L43" s="92" t="str">
        <f>IFERROR(VLOOKUP(D43,'Công T5'!$C$7:$F$89,2,0),"")</f>
        <v/>
      </c>
      <c r="M43" s="92" t="str">
        <f>IFERROR(VLOOKUP(D43,'Công T5'!$C$7:$F$89,3,0),"")</f>
        <v/>
      </c>
      <c r="N43" s="92">
        <f t="shared" si="9"/>
        <v>0.3333333333</v>
      </c>
      <c r="O43" s="92">
        <f t="shared" si="2"/>
        <v>0.7083333333</v>
      </c>
      <c r="P43" s="94">
        <f t="shared" si="3"/>
        <v>0.5</v>
      </c>
      <c r="Q43" s="94">
        <f t="shared" si="4"/>
        <v>0.5</v>
      </c>
      <c r="R43" s="95">
        <f t="shared" si="5"/>
        <v>1</v>
      </c>
      <c r="S43" s="95">
        <f t="shared" si="6"/>
        <v>0</v>
      </c>
      <c r="T43" s="95">
        <f t="shared" si="7"/>
        <v>0</v>
      </c>
    </row>
    <row r="44">
      <c r="A44" s="96">
        <v>39.0</v>
      </c>
      <c r="B44" s="97">
        <v>44700.0</v>
      </c>
      <c r="C44" s="96">
        <v>10404.0</v>
      </c>
      <c r="D44" s="98" t="s">
        <v>58</v>
      </c>
      <c r="E44" s="98" t="s">
        <v>159</v>
      </c>
      <c r="F44" s="99">
        <v>0.3277777777777778</v>
      </c>
      <c r="G44" s="99">
        <v>0.7145833333333333</v>
      </c>
      <c r="H44" s="101"/>
      <c r="I44" s="92" t="str">
        <f>IFERROR(VLOOKUP(D44,'Công T5'!$C$7:$F$89,4,0),"")</f>
        <v>ĐT</v>
      </c>
      <c r="J44" s="92">
        <f t="shared" si="8"/>
        <v>0.3277777778</v>
      </c>
      <c r="K44" s="92">
        <f t="shared" si="1"/>
        <v>0.7145833333</v>
      </c>
      <c r="L44" s="92" t="str">
        <f>IFERROR(VLOOKUP(D44,'Công T5'!$C$7:$F$89,2,0),"")</f>
        <v/>
      </c>
      <c r="M44" s="92" t="str">
        <f>IFERROR(VLOOKUP(D44,'Công T5'!$C$7:$F$89,3,0),"")</f>
        <v/>
      </c>
      <c r="N44" s="92">
        <f t="shared" si="9"/>
        <v>0.3333333333</v>
      </c>
      <c r="O44" s="92">
        <f t="shared" si="2"/>
        <v>0.7083333333</v>
      </c>
      <c r="P44" s="94">
        <f t="shared" si="3"/>
        <v>0.5</v>
      </c>
      <c r="Q44" s="94">
        <f t="shared" si="4"/>
        <v>0.5</v>
      </c>
      <c r="R44" s="95">
        <f t="shared" si="5"/>
        <v>1</v>
      </c>
      <c r="S44" s="95">
        <f t="shared" si="6"/>
        <v>0</v>
      </c>
      <c r="T44" s="95">
        <f t="shared" si="7"/>
        <v>0</v>
      </c>
    </row>
    <row r="45">
      <c r="A45" s="96">
        <v>40.0</v>
      </c>
      <c r="B45" s="97">
        <v>44701.0</v>
      </c>
      <c r="C45" s="96">
        <v>10404.0</v>
      </c>
      <c r="D45" s="98" t="s">
        <v>58</v>
      </c>
      <c r="E45" s="98" t="s">
        <v>159</v>
      </c>
      <c r="F45" s="99">
        <v>0.3236111111111111</v>
      </c>
      <c r="G45" s="99">
        <v>0.7111111111111111</v>
      </c>
      <c r="H45" s="101"/>
      <c r="I45" s="92" t="str">
        <f>IFERROR(VLOOKUP(D45,'Công T5'!$C$7:$F$89,4,0),"")</f>
        <v>ĐT</v>
      </c>
      <c r="J45" s="92">
        <f t="shared" si="8"/>
        <v>0.3236111111</v>
      </c>
      <c r="K45" s="92">
        <f t="shared" si="1"/>
        <v>0.7111111111</v>
      </c>
      <c r="L45" s="92" t="str">
        <f>IFERROR(VLOOKUP(D45,'Công T5'!$C$7:$F$89,2,0),"")</f>
        <v/>
      </c>
      <c r="M45" s="92" t="str">
        <f>IFERROR(VLOOKUP(D45,'Công T5'!$C$7:$F$89,3,0),"")</f>
        <v/>
      </c>
      <c r="N45" s="92">
        <f t="shared" si="9"/>
        <v>0.3333333333</v>
      </c>
      <c r="O45" s="92">
        <f t="shared" si="2"/>
        <v>0.7083333333</v>
      </c>
      <c r="P45" s="94">
        <f t="shared" si="3"/>
        <v>0.5</v>
      </c>
      <c r="Q45" s="94">
        <f t="shared" si="4"/>
        <v>0.5</v>
      </c>
      <c r="R45" s="95">
        <f t="shared" si="5"/>
        <v>1</v>
      </c>
      <c r="S45" s="95">
        <f t="shared" si="6"/>
        <v>0</v>
      </c>
      <c r="T45" s="95">
        <f t="shared" si="7"/>
        <v>0</v>
      </c>
    </row>
    <row r="46">
      <c r="A46" s="96">
        <v>41.0</v>
      </c>
      <c r="B46" s="97">
        <v>44702.0</v>
      </c>
      <c r="C46" s="96">
        <v>10404.0</v>
      </c>
      <c r="D46" s="98" t="s">
        <v>58</v>
      </c>
      <c r="E46" s="98" t="s">
        <v>159</v>
      </c>
      <c r="F46" s="99">
        <v>0.325</v>
      </c>
      <c r="G46" s="99">
        <v>0.7125</v>
      </c>
      <c r="H46" s="101"/>
      <c r="I46" s="92" t="str">
        <f>IFERROR(VLOOKUP(D46,'Công T5'!$C$7:$F$89,4,0),"")</f>
        <v>ĐT</v>
      </c>
      <c r="J46" s="92">
        <f t="shared" si="8"/>
        <v>0.325</v>
      </c>
      <c r="K46" s="92">
        <f t="shared" si="1"/>
        <v>0.7125</v>
      </c>
      <c r="L46" s="92" t="str">
        <f>IFERROR(VLOOKUP(D46,'Công T5'!$C$7:$F$89,2,0),"")</f>
        <v/>
      </c>
      <c r="M46" s="92" t="str">
        <f>IFERROR(VLOOKUP(D46,'Công T5'!$C$7:$F$89,3,0),"")</f>
        <v/>
      </c>
      <c r="N46" s="92">
        <f t="shared" si="9"/>
        <v>0.3333333333</v>
      </c>
      <c r="O46" s="92">
        <f t="shared" si="2"/>
        <v>0.7083333333</v>
      </c>
      <c r="P46" s="94">
        <f t="shared" si="3"/>
        <v>0.5</v>
      </c>
      <c r="Q46" s="94">
        <f t="shared" si="4"/>
        <v>0.5</v>
      </c>
      <c r="R46" s="95">
        <f t="shared" si="5"/>
        <v>1</v>
      </c>
      <c r="S46" s="95">
        <f t="shared" si="6"/>
        <v>0</v>
      </c>
      <c r="T46" s="95">
        <f t="shared" si="7"/>
        <v>0</v>
      </c>
    </row>
    <row r="47">
      <c r="A47" s="96">
        <v>42.0</v>
      </c>
      <c r="B47" s="97">
        <v>44704.0</v>
      </c>
      <c r="C47" s="96">
        <v>10404.0</v>
      </c>
      <c r="D47" s="98" t="s">
        <v>58</v>
      </c>
      <c r="E47" s="98" t="s">
        <v>159</v>
      </c>
      <c r="F47" s="99">
        <v>0.34375</v>
      </c>
      <c r="G47" s="99">
        <v>0.7097222222222223</v>
      </c>
      <c r="H47" s="101"/>
      <c r="I47" s="92" t="str">
        <f>IFERROR(VLOOKUP(D47,'Công T5'!$C$7:$F$89,4,0),"")</f>
        <v>ĐT</v>
      </c>
      <c r="J47" s="92">
        <f t="shared" si="8"/>
        <v>0.34375</v>
      </c>
      <c r="K47" s="92">
        <f t="shared" si="1"/>
        <v>0.7097222222</v>
      </c>
      <c r="L47" s="92" t="str">
        <f>IFERROR(VLOOKUP(D47,'Công T5'!$C$7:$F$89,2,0),"")</f>
        <v/>
      </c>
      <c r="M47" s="92" t="str">
        <f>IFERROR(VLOOKUP(D47,'Công T5'!$C$7:$F$89,3,0),"")</f>
        <v/>
      </c>
      <c r="N47" s="92">
        <f t="shared" si="9"/>
        <v>0.3333333333</v>
      </c>
      <c r="O47" s="92">
        <f t="shared" si="2"/>
        <v>0.7083333333</v>
      </c>
      <c r="P47" s="94">
        <f t="shared" si="3"/>
        <v>0.5</v>
      </c>
      <c r="Q47" s="94">
        <f t="shared" si="4"/>
        <v>0.5</v>
      </c>
      <c r="R47" s="95">
        <f t="shared" si="5"/>
        <v>1</v>
      </c>
      <c r="S47" s="95">
        <f t="shared" si="6"/>
        <v>1</v>
      </c>
      <c r="T47" s="95">
        <f t="shared" si="7"/>
        <v>0</v>
      </c>
    </row>
    <row r="48">
      <c r="A48" s="96">
        <v>43.0</v>
      </c>
      <c r="B48" s="97">
        <v>44705.0</v>
      </c>
      <c r="C48" s="96">
        <v>10404.0</v>
      </c>
      <c r="D48" s="98" t="s">
        <v>58</v>
      </c>
      <c r="E48" s="98" t="s">
        <v>159</v>
      </c>
      <c r="F48" s="99">
        <v>0.32222222222222224</v>
      </c>
      <c r="G48" s="99">
        <v>0.7125</v>
      </c>
      <c r="H48" s="101"/>
      <c r="I48" s="92" t="str">
        <f>IFERROR(VLOOKUP(D48,'Công T5'!$C$7:$F$89,4,0),"")</f>
        <v>ĐT</v>
      </c>
      <c r="J48" s="92">
        <f t="shared" si="8"/>
        <v>0.3222222222</v>
      </c>
      <c r="K48" s="92">
        <f t="shared" si="1"/>
        <v>0.7125</v>
      </c>
      <c r="L48" s="92" t="str">
        <f>IFERROR(VLOOKUP(D48,'Công T5'!$C$7:$F$89,2,0),"")</f>
        <v/>
      </c>
      <c r="M48" s="92" t="str">
        <f>IFERROR(VLOOKUP(D48,'Công T5'!$C$7:$F$89,3,0),"")</f>
        <v/>
      </c>
      <c r="N48" s="92">
        <f t="shared" si="9"/>
        <v>0.3333333333</v>
      </c>
      <c r="O48" s="92">
        <f t="shared" si="2"/>
        <v>0.7083333333</v>
      </c>
      <c r="P48" s="94">
        <f t="shared" si="3"/>
        <v>0.5</v>
      </c>
      <c r="Q48" s="94">
        <f t="shared" si="4"/>
        <v>0.5</v>
      </c>
      <c r="R48" s="95">
        <f t="shared" si="5"/>
        <v>1</v>
      </c>
      <c r="S48" s="95">
        <f t="shared" si="6"/>
        <v>0</v>
      </c>
      <c r="T48" s="95">
        <f t="shared" si="7"/>
        <v>0</v>
      </c>
    </row>
    <row r="49">
      <c r="A49" s="96">
        <v>44.0</v>
      </c>
      <c r="B49" s="97">
        <v>44706.0</v>
      </c>
      <c r="C49" s="96">
        <v>10404.0</v>
      </c>
      <c r="D49" s="98" t="s">
        <v>58</v>
      </c>
      <c r="E49" s="98" t="s">
        <v>159</v>
      </c>
      <c r="F49" s="99">
        <v>0.32430555555555557</v>
      </c>
      <c r="G49" s="99">
        <v>0.7111111111111111</v>
      </c>
      <c r="H49" s="101"/>
      <c r="I49" s="92" t="str">
        <f>IFERROR(VLOOKUP(D49,'Công T5'!$C$7:$F$89,4,0),"")</f>
        <v>ĐT</v>
      </c>
      <c r="J49" s="92">
        <f t="shared" si="8"/>
        <v>0.3243055556</v>
      </c>
      <c r="K49" s="92">
        <f t="shared" si="1"/>
        <v>0.7111111111</v>
      </c>
      <c r="L49" s="92" t="str">
        <f>IFERROR(VLOOKUP(D49,'Công T5'!$C$7:$F$89,2,0),"")</f>
        <v/>
      </c>
      <c r="M49" s="92" t="str">
        <f>IFERROR(VLOOKUP(D49,'Công T5'!$C$7:$F$89,3,0),"")</f>
        <v/>
      </c>
      <c r="N49" s="92">
        <f t="shared" si="9"/>
        <v>0.3333333333</v>
      </c>
      <c r="O49" s="92">
        <f t="shared" si="2"/>
        <v>0.7083333333</v>
      </c>
      <c r="P49" s="94">
        <f t="shared" si="3"/>
        <v>0.5</v>
      </c>
      <c r="Q49" s="94">
        <f t="shared" si="4"/>
        <v>0.5</v>
      </c>
      <c r="R49" s="95">
        <f t="shared" si="5"/>
        <v>1</v>
      </c>
      <c r="S49" s="95">
        <f t="shared" si="6"/>
        <v>0</v>
      </c>
      <c r="T49" s="95">
        <f t="shared" si="7"/>
        <v>0</v>
      </c>
    </row>
    <row r="50">
      <c r="A50" s="96">
        <v>45.0</v>
      </c>
      <c r="B50" s="97">
        <v>44677.0</v>
      </c>
      <c r="C50" s="96">
        <v>10406.0</v>
      </c>
      <c r="D50" s="98" t="s">
        <v>59</v>
      </c>
      <c r="E50" s="98" t="s">
        <v>159</v>
      </c>
      <c r="F50" s="99">
        <v>0.25555555555555554</v>
      </c>
      <c r="G50" s="99">
        <v>0.8034722222222223</v>
      </c>
      <c r="H50" s="101"/>
      <c r="I50" s="92" t="str">
        <f>IFERROR(VLOOKUP(D50,'Công T5'!$C$7:$F$89,4,0),"")</f>
        <v>ĐT</v>
      </c>
      <c r="J50" s="92">
        <f t="shared" si="8"/>
        <v>0.2555555556</v>
      </c>
      <c r="K50" s="92">
        <f t="shared" si="1"/>
        <v>0.8034722222</v>
      </c>
      <c r="L50" s="92" t="str">
        <f>IFERROR(VLOOKUP(D50,'Công T5'!$C$7:$F$89,2,0),"")</f>
        <v/>
      </c>
      <c r="M50" s="92" t="str">
        <f>IFERROR(VLOOKUP(D50,'Công T5'!$C$7:$F$89,3,0),"")</f>
        <v/>
      </c>
      <c r="N50" s="92">
        <f t="shared" si="9"/>
        <v>0.3333333333</v>
      </c>
      <c r="O50" s="92">
        <f t="shared" si="2"/>
        <v>0.7083333333</v>
      </c>
      <c r="P50" s="94">
        <f t="shared" si="3"/>
        <v>0.5</v>
      </c>
      <c r="Q50" s="94">
        <f t="shared" si="4"/>
        <v>0.5</v>
      </c>
      <c r="R50" s="95">
        <f t="shared" si="5"/>
        <v>1</v>
      </c>
      <c r="S50" s="95">
        <f t="shared" si="6"/>
        <v>0</v>
      </c>
      <c r="T50" s="95">
        <f t="shared" si="7"/>
        <v>0</v>
      </c>
    </row>
    <row r="51">
      <c r="A51" s="96">
        <v>46.0</v>
      </c>
      <c r="B51" s="97">
        <v>44678.0</v>
      </c>
      <c r="C51" s="96">
        <v>10406.0</v>
      </c>
      <c r="D51" s="98" t="s">
        <v>59</v>
      </c>
      <c r="E51" s="98" t="s">
        <v>159</v>
      </c>
      <c r="F51" s="99">
        <v>0.25416666666666665</v>
      </c>
      <c r="G51" s="99">
        <v>0.7958333333333333</v>
      </c>
      <c r="H51" s="101"/>
      <c r="I51" s="92" t="str">
        <f>IFERROR(VLOOKUP(D51,'Công T5'!$C$7:$F$89,4,0),"")</f>
        <v>ĐT</v>
      </c>
      <c r="J51" s="92">
        <f t="shared" si="8"/>
        <v>0.2541666667</v>
      </c>
      <c r="K51" s="92">
        <f t="shared" si="1"/>
        <v>0.7958333333</v>
      </c>
      <c r="L51" s="92" t="str">
        <f>IFERROR(VLOOKUP(D51,'Công T5'!$C$7:$F$89,2,0),"")</f>
        <v/>
      </c>
      <c r="M51" s="92" t="str">
        <f>IFERROR(VLOOKUP(D51,'Công T5'!$C$7:$F$89,3,0),"")</f>
        <v/>
      </c>
      <c r="N51" s="92">
        <f t="shared" si="9"/>
        <v>0.3333333333</v>
      </c>
      <c r="O51" s="92">
        <f t="shared" si="2"/>
        <v>0.7083333333</v>
      </c>
      <c r="P51" s="94">
        <f t="shared" si="3"/>
        <v>0.5</v>
      </c>
      <c r="Q51" s="94">
        <f t="shared" si="4"/>
        <v>0.5</v>
      </c>
      <c r="R51" s="95">
        <f t="shared" si="5"/>
        <v>1</v>
      </c>
      <c r="S51" s="95">
        <f t="shared" si="6"/>
        <v>0</v>
      </c>
      <c r="T51" s="95">
        <f t="shared" si="7"/>
        <v>0</v>
      </c>
    </row>
    <row r="52">
      <c r="A52" s="96">
        <v>47.0</v>
      </c>
      <c r="B52" s="97">
        <v>44679.0</v>
      </c>
      <c r="C52" s="96">
        <v>10406.0</v>
      </c>
      <c r="D52" s="98" t="s">
        <v>59</v>
      </c>
      <c r="E52" s="98" t="s">
        <v>159</v>
      </c>
      <c r="F52" s="99">
        <v>0.2590277777777778</v>
      </c>
      <c r="G52" s="99">
        <v>0.7715277777777778</v>
      </c>
      <c r="H52" s="101"/>
      <c r="I52" s="92" t="str">
        <f>IFERROR(VLOOKUP(D52,'Công T5'!$C$7:$F$89,4,0),"")</f>
        <v>ĐT</v>
      </c>
      <c r="J52" s="92">
        <f t="shared" si="8"/>
        <v>0.2590277778</v>
      </c>
      <c r="K52" s="92">
        <f t="shared" si="1"/>
        <v>0.8034722222</v>
      </c>
      <c r="L52" s="92" t="str">
        <f>IFERROR(VLOOKUP(D52,'Công T5'!$C$7:$F$89,2,0),"")</f>
        <v/>
      </c>
      <c r="M52" s="92" t="str">
        <f>IFERROR(VLOOKUP(D52,'Công T5'!$C$7:$F$89,3,0),"")</f>
        <v/>
      </c>
      <c r="N52" s="92">
        <f t="shared" si="9"/>
        <v>0.3333333333</v>
      </c>
      <c r="O52" s="92">
        <f t="shared" si="2"/>
        <v>0.7083333333</v>
      </c>
      <c r="P52" s="94">
        <f t="shared" si="3"/>
        <v>0.5</v>
      </c>
      <c r="Q52" s="94">
        <f t="shared" si="4"/>
        <v>0.5</v>
      </c>
      <c r="R52" s="95">
        <f t="shared" si="5"/>
        <v>1</v>
      </c>
      <c r="S52" s="95">
        <f t="shared" si="6"/>
        <v>0</v>
      </c>
      <c r="T52" s="95">
        <f t="shared" si="7"/>
        <v>0</v>
      </c>
    </row>
    <row r="53">
      <c r="A53" s="96">
        <v>48.0</v>
      </c>
      <c r="B53" s="97">
        <v>44679.0</v>
      </c>
      <c r="C53" s="96">
        <v>10406.0</v>
      </c>
      <c r="D53" s="98" t="s">
        <v>59</v>
      </c>
      <c r="E53" s="98" t="s">
        <v>159</v>
      </c>
      <c r="F53" s="99">
        <v>0.8034722222222223</v>
      </c>
      <c r="G53" s="102"/>
      <c r="H53" s="101"/>
      <c r="I53" s="92" t="str">
        <f>IFERROR(VLOOKUP(D53,'Công T5'!$C$7:$F$89,4,0),"")</f>
        <v>ĐT</v>
      </c>
      <c r="J53" s="92">
        <f t="shared" si="8"/>
        <v>0.8034722222</v>
      </c>
      <c r="K53" s="92" t="str">
        <f t="shared" si="1"/>
        <v/>
      </c>
      <c r="L53" s="92" t="str">
        <f>IFERROR(VLOOKUP(D53,'Công T5'!$C$7:$F$89,2,0),"")</f>
        <v/>
      </c>
      <c r="M53" s="92" t="str">
        <f>IFERROR(VLOOKUP(D53,'Công T5'!$C$7:$F$89,3,0),"")</f>
        <v/>
      </c>
      <c r="N53" s="92">
        <f t="shared" si="9"/>
        <v>0.8034722222</v>
      </c>
      <c r="O53" s="92" t="str">
        <f t="shared" si="2"/>
        <v/>
      </c>
      <c r="P53" s="94">
        <f t="shared" si="3"/>
        <v>0</v>
      </c>
      <c r="Q53" s="94" t="str">
        <f t="shared" si="4"/>
        <v/>
      </c>
      <c r="R53" s="95">
        <f t="shared" si="5"/>
        <v>0.5</v>
      </c>
      <c r="S53" s="95" t="str">
        <f t="shared" si="6"/>
        <v/>
      </c>
      <c r="T53" s="95">
        <f t="shared" si="7"/>
        <v>1</v>
      </c>
    </row>
    <row r="54">
      <c r="A54" s="96">
        <v>49.0</v>
      </c>
      <c r="B54" s="97">
        <v>44680.0</v>
      </c>
      <c r="C54" s="96">
        <v>10406.0</v>
      </c>
      <c r="D54" s="98" t="s">
        <v>59</v>
      </c>
      <c r="E54" s="98" t="s">
        <v>159</v>
      </c>
      <c r="F54" s="99">
        <v>0.2590277777777778</v>
      </c>
      <c r="G54" s="99">
        <v>0.7951388888888888</v>
      </c>
      <c r="H54" s="101"/>
      <c r="I54" s="92" t="str">
        <f>IFERROR(VLOOKUP(D54,'Công T5'!$C$7:$F$89,4,0),"")</f>
        <v>ĐT</v>
      </c>
      <c r="J54" s="92">
        <f t="shared" si="8"/>
        <v>0.2590277778</v>
      </c>
      <c r="K54" s="92">
        <f t="shared" si="1"/>
        <v>0.8472222222</v>
      </c>
      <c r="L54" s="92" t="str">
        <f>IFERROR(VLOOKUP(D54,'Công T5'!$C$7:$F$89,2,0),"")</f>
        <v/>
      </c>
      <c r="M54" s="92" t="str">
        <f>IFERROR(VLOOKUP(D54,'Công T5'!$C$7:$F$89,3,0),"")</f>
        <v/>
      </c>
      <c r="N54" s="92">
        <f t="shared" si="9"/>
        <v>0.3333333333</v>
      </c>
      <c r="O54" s="92">
        <f t="shared" si="2"/>
        <v>0.7083333333</v>
      </c>
      <c r="P54" s="94">
        <f t="shared" si="3"/>
        <v>0.5</v>
      </c>
      <c r="Q54" s="94">
        <f t="shared" si="4"/>
        <v>0.5</v>
      </c>
      <c r="R54" s="95">
        <f t="shared" si="5"/>
        <v>1</v>
      </c>
      <c r="S54" s="95">
        <f t="shared" si="6"/>
        <v>0</v>
      </c>
      <c r="T54" s="95">
        <f t="shared" si="7"/>
        <v>0</v>
      </c>
    </row>
    <row r="55">
      <c r="A55" s="96">
        <v>50.0</v>
      </c>
      <c r="B55" s="97">
        <v>44680.0</v>
      </c>
      <c r="C55" s="96">
        <v>10406.0</v>
      </c>
      <c r="D55" s="98" t="s">
        <v>59</v>
      </c>
      <c r="E55" s="98" t="s">
        <v>159</v>
      </c>
      <c r="F55" s="99">
        <v>0.8472222222222222</v>
      </c>
      <c r="G55" s="102"/>
      <c r="H55" s="101"/>
      <c r="I55" s="92" t="str">
        <f>IFERROR(VLOOKUP(D55,'Công T5'!$C$7:$F$89,4,0),"")</f>
        <v>ĐT</v>
      </c>
      <c r="J55" s="92">
        <f t="shared" si="8"/>
        <v>0.8472222222</v>
      </c>
      <c r="K55" s="92" t="str">
        <f t="shared" si="1"/>
        <v/>
      </c>
      <c r="L55" s="92" t="str">
        <f>IFERROR(VLOOKUP(D55,'Công T5'!$C$7:$F$89,2,0),"")</f>
        <v/>
      </c>
      <c r="M55" s="92" t="str">
        <f>IFERROR(VLOOKUP(D55,'Công T5'!$C$7:$F$89,3,0),"")</f>
        <v/>
      </c>
      <c r="N55" s="92">
        <f t="shared" si="9"/>
        <v>0.8472222222</v>
      </c>
      <c r="O55" s="92" t="str">
        <f t="shared" si="2"/>
        <v/>
      </c>
      <c r="P55" s="94">
        <f t="shared" si="3"/>
        <v>0</v>
      </c>
      <c r="Q55" s="94" t="str">
        <f t="shared" si="4"/>
        <v/>
      </c>
      <c r="R55" s="95">
        <f t="shared" si="5"/>
        <v>0.5</v>
      </c>
      <c r="S55" s="95" t="str">
        <f t="shared" si="6"/>
        <v/>
      </c>
      <c r="T55" s="95">
        <f t="shared" si="7"/>
        <v>1</v>
      </c>
    </row>
    <row r="56">
      <c r="A56" s="96">
        <v>51.0</v>
      </c>
      <c r="B56" s="97">
        <v>44685.0</v>
      </c>
      <c r="C56" s="96">
        <v>10406.0</v>
      </c>
      <c r="D56" s="98" t="s">
        <v>59</v>
      </c>
      <c r="E56" s="98" t="s">
        <v>159</v>
      </c>
      <c r="F56" s="99">
        <v>0.2375</v>
      </c>
      <c r="G56" s="99">
        <v>0.30833333333333335</v>
      </c>
      <c r="H56" s="101"/>
      <c r="I56" s="92" t="str">
        <f>IFERROR(VLOOKUP(D56,'Công T5'!$C$7:$F$89,4,0),"")</f>
        <v>ĐT</v>
      </c>
      <c r="J56" s="92">
        <f t="shared" si="8"/>
        <v>0.2375</v>
      </c>
      <c r="K56" s="92">
        <f t="shared" si="1"/>
        <v>0.7993055556</v>
      </c>
      <c r="L56" s="92" t="str">
        <f>IFERROR(VLOOKUP(D56,'Công T5'!$C$7:$F$89,2,0),"")</f>
        <v/>
      </c>
      <c r="M56" s="92" t="str">
        <f>IFERROR(VLOOKUP(D56,'Công T5'!$C$7:$F$89,3,0),"")</f>
        <v/>
      </c>
      <c r="N56" s="92">
        <f t="shared" si="9"/>
        <v>0.3333333333</v>
      </c>
      <c r="O56" s="92">
        <f t="shared" si="2"/>
        <v>0.7083333333</v>
      </c>
      <c r="P56" s="94">
        <f t="shared" si="3"/>
        <v>0.5</v>
      </c>
      <c r="Q56" s="94">
        <f t="shared" si="4"/>
        <v>0.5</v>
      </c>
      <c r="R56" s="95">
        <f t="shared" si="5"/>
        <v>1</v>
      </c>
      <c r="S56" s="95">
        <f t="shared" si="6"/>
        <v>0</v>
      </c>
      <c r="T56" s="95">
        <f t="shared" si="7"/>
        <v>0</v>
      </c>
    </row>
    <row r="57">
      <c r="A57" s="96">
        <v>52.0</v>
      </c>
      <c r="B57" s="97">
        <v>44685.0</v>
      </c>
      <c r="C57" s="96">
        <v>10406.0</v>
      </c>
      <c r="D57" s="98" t="s">
        <v>59</v>
      </c>
      <c r="E57" s="98" t="s">
        <v>159</v>
      </c>
      <c r="F57" s="99">
        <v>0.7993055555555556</v>
      </c>
      <c r="G57" s="102"/>
      <c r="H57" s="101"/>
      <c r="I57" s="92" t="str">
        <f>IFERROR(VLOOKUP(D57,'Công T5'!$C$7:$F$89,4,0),"")</f>
        <v>ĐT</v>
      </c>
      <c r="J57" s="92">
        <f t="shared" si="8"/>
        <v>0.7993055556</v>
      </c>
      <c r="K57" s="92" t="str">
        <f t="shared" si="1"/>
        <v/>
      </c>
      <c r="L57" s="92" t="str">
        <f>IFERROR(VLOOKUP(D57,'Công T5'!$C$7:$F$89,2,0),"")</f>
        <v/>
      </c>
      <c r="M57" s="92" t="str">
        <f>IFERROR(VLOOKUP(D57,'Công T5'!$C$7:$F$89,3,0),"")</f>
        <v/>
      </c>
      <c r="N57" s="92">
        <f t="shared" si="9"/>
        <v>0.7993055556</v>
      </c>
      <c r="O57" s="92" t="str">
        <f t="shared" si="2"/>
        <v/>
      </c>
      <c r="P57" s="94">
        <f t="shared" si="3"/>
        <v>0</v>
      </c>
      <c r="Q57" s="94" t="str">
        <f t="shared" si="4"/>
        <v/>
      </c>
      <c r="R57" s="95">
        <f t="shared" si="5"/>
        <v>0.5</v>
      </c>
      <c r="S57" s="95" t="str">
        <f t="shared" si="6"/>
        <v/>
      </c>
      <c r="T57" s="95">
        <f t="shared" si="7"/>
        <v>1</v>
      </c>
    </row>
    <row r="58">
      <c r="A58" s="96">
        <v>53.0</v>
      </c>
      <c r="B58" s="97">
        <v>44686.0</v>
      </c>
      <c r="C58" s="96">
        <v>10406.0</v>
      </c>
      <c r="D58" s="98" t="s">
        <v>59</v>
      </c>
      <c r="E58" s="98" t="s">
        <v>159</v>
      </c>
      <c r="F58" s="99">
        <v>0.24791666666666667</v>
      </c>
      <c r="G58" s="99">
        <v>0.7583333333333333</v>
      </c>
      <c r="H58" s="101"/>
      <c r="I58" s="92" t="str">
        <f>IFERROR(VLOOKUP(D58,'Công T5'!$C$7:$F$89,4,0),"")</f>
        <v>ĐT</v>
      </c>
      <c r="J58" s="92">
        <f t="shared" si="8"/>
        <v>0.2479166667</v>
      </c>
      <c r="K58" s="92">
        <f t="shared" si="1"/>
        <v>0.8333333333</v>
      </c>
      <c r="L58" s="92" t="str">
        <f>IFERROR(VLOOKUP(D58,'Công T5'!$C$7:$F$89,2,0),"")</f>
        <v/>
      </c>
      <c r="M58" s="92" t="str">
        <f>IFERROR(VLOOKUP(D58,'Công T5'!$C$7:$F$89,3,0),"")</f>
        <v/>
      </c>
      <c r="N58" s="92">
        <f t="shared" si="9"/>
        <v>0.3333333333</v>
      </c>
      <c r="O58" s="92">
        <f t="shared" si="2"/>
        <v>0.7083333333</v>
      </c>
      <c r="P58" s="94">
        <f t="shared" si="3"/>
        <v>0.5</v>
      </c>
      <c r="Q58" s="94">
        <f t="shared" si="4"/>
        <v>0.5</v>
      </c>
      <c r="R58" s="95">
        <f t="shared" si="5"/>
        <v>1</v>
      </c>
      <c r="S58" s="95">
        <f t="shared" si="6"/>
        <v>0</v>
      </c>
      <c r="T58" s="95">
        <f t="shared" si="7"/>
        <v>0</v>
      </c>
    </row>
    <row r="59">
      <c r="A59" s="96">
        <v>54.0</v>
      </c>
      <c r="B59" s="97">
        <v>44686.0</v>
      </c>
      <c r="C59" s="96">
        <v>10406.0</v>
      </c>
      <c r="D59" s="98" t="s">
        <v>59</v>
      </c>
      <c r="E59" s="98" t="s">
        <v>159</v>
      </c>
      <c r="F59" s="99">
        <v>0.8333333333333334</v>
      </c>
      <c r="G59" s="102"/>
      <c r="H59" s="101"/>
      <c r="I59" s="92" t="str">
        <f>IFERROR(VLOOKUP(D59,'Công T5'!$C$7:$F$89,4,0),"")</f>
        <v>ĐT</v>
      </c>
      <c r="J59" s="92">
        <f t="shared" si="8"/>
        <v>0.8333333333</v>
      </c>
      <c r="K59" s="92" t="str">
        <f t="shared" si="1"/>
        <v/>
      </c>
      <c r="L59" s="92" t="str">
        <f>IFERROR(VLOOKUP(D59,'Công T5'!$C$7:$F$89,2,0),"")</f>
        <v/>
      </c>
      <c r="M59" s="92" t="str">
        <f>IFERROR(VLOOKUP(D59,'Công T5'!$C$7:$F$89,3,0),"")</f>
        <v/>
      </c>
      <c r="N59" s="92">
        <f t="shared" si="9"/>
        <v>0.8333333333</v>
      </c>
      <c r="O59" s="92" t="str">
        <f t="shared" si="2"/>
        <v/>
      </c>
      <c r="P59" s="94">
        <f t="shared" si="3"/>
        <v>0</v>
      </c>
      <c r="Q59" s="94" t="str">
        <f t="shared" si="4"/>
        <v/>
      </c>
      <c r="R59" s="95">
        <f t="shared" si="5"/>
        <v>0.5</v>
      </c>
      <c r="S59" s="95" t="str">
        <f t="shared" si="6"/>
        <v/>
      </c>
      <c r="T59" s="95">
        <f t="shared" si="7"/>
        <v>1</v>
      </c>
    </row>
    <row r="60">
      <c r="A60" s="96">
        <v>55.0</v>
      </c>
      <c r="B60" s="97">
        <v>44687.0</v>
      </c>
      <c r="C60" s="96">
        <v>10406.0</v>
      </c>
      <c r="D60" s="98" t="s">
        <v>59</v>
      </c>
      <c r="E60" s="98" t="s">
        <v>159</v>
      </c>
      <c r="F60" s="99">
        <v>0.24375</v>
      </c>
      <c r="G60" s="99">
        <v>0.3159722222222222</v>
      </c>
      <c r="H60" s="101"/>
      <c r="I60" s="92" t="str">
        <f>IFERROR(VLOOKUP(D60,'Công T5'!$C$7:$F$89,4,0),"")</f>
        <v>ĐT</v>
      </c>
      <c r="J60" s="92">
        <f t="shared" si="8"/>
        <v>0.24375</v>
      </c>
      <c r="K60" s="92">
        <f t="shared" si="1"/>
        <v>0.8340277778</v>
      </c>
      <c r="L60" s="92" t="str">
        <f>IFERROR(VLOOKUP(D60,'Công T5'!$C$7:$F$89,2,0),"")</f>
        <v/>
      </c>
      <c r="M60" s="92" t="str">
        <f>IFERROR(VLOOKUP(D60,'Công T5'!$C$7:$F$89,3,0),"")</f>
        <v/>
      </c>
      <c r="N60" s="92">
        <f t="shared" si="9"/>
        <v>0.3333333333</v>
      </c>
      <c r="O60" s="92">
        <f t="shared" si="2"/>
        <v>0.7083333333</v>
      </c>
      <c r="P60" s="94">
        <f t="shared" si="3"/>
        <v>0.5</v>
      </c>
      <c r="Q60" s="94">
        <f t="shared" si="4"/>
        <v>0.5</v>
      </c>
      <c r="R60" s="95">
        <f t="shared" si="5"/>
        <v>1</v>
      </c>
      <c r="S60" s="95">
        <f t="shared" si="6"/>
        <v>0</v>
      </c>
      <c r="T60" s="95">
        <f t="shared" si="7"/>
        <v>0</v>
      </c>
    </row>
    <row r="61">
      <c r="A61" s="96">
        <v>56.0</v>
      </c>
      <c r="B61" s="97">
        <v>44687.0</v>
      </c>
      <c r="C61" s="96">
        <v>10406.0</v>
      </c>
      <c r="D61" s="98" t="s">
        <v>59</v>
      </c>
      <c r="E61" s="98" t="s">
        <v>159</v>
      </c>
      <c r="F61" s="99">
        <v>0.8340277777777778</v>
      </c>
      <c r="G61" s="102"/>
      <c r="H61" s="101"/>
      <c r="I61" s="92" t="str">
        <f>IFERROR(VLOOKUP(D61,'Công T5'!$C$7:$F$89,4,0),"")</f>
        <v>ĐT</v>
      </c>
      <c r="J61" s="92">
        <f t="shared" si="8"/>
        <v>0.8340277778</v>
      </c>
      <c r="K61" s="92" t="str">
        <f t="shared" si="1"/>
        <v/>
      </c>
      <c r="L61" s="92" t="str">
        <f>IFERROR(VLOOKUP(D61,'Công T5'!$C$7:$F$89,2,0),"")</f>
        <v/>
      </c>
      <c r="M61" s="92" t="str">
        <f>IFERROR(VLOOKUP(D61,'Công T5'!$C$7:$F$89,3,0),"")</f>
        <v/>
      </c>
      <c r="N61" s="92">
        <f t="shared" si="9"/>
        <v>0.8340277778</v>
      </c>
      <c r="O61" s="92" t="str">
        <f t="shared" si="2"/>
        <v/>
      </c>
      <c r="P61" s="94">
        <f t="shared" si="3"/>
        <v>0</v>
      </c>
      <c r="Q61" s="94" t="str">
        <f t="shared" si="4"/>
        <v/>
      </c>
      <c r="R61" s="95">
        <f t="shared" si="5"/>
        <v>0.5</v>
      </c>
      <c r="S61" s="95" t="str">
        <f t="shared" si="6"/>
        <v/>
      </c>
      <c r="T61" s="95">
        <f t="shared" si="7"/>
        <v>1</v>
      </c>
    </row>
    <row r="62">
      <c r="A62" s="96">
        <v>57.0</v>
      </c>
      <c r="B62" s="97">
        <v>44688.0</v>
      </c>
      <c r="C62" s="96">
        <v>10406.0</v>
      </c>
      <c r="D62" s="98" t="s">
        <v>59</v>
      </c>
      <c r="E62" s="98" t="s">
        <v>159</v>
      </c>
      <c r="F62" s="99">
        <v>0.2548611111111111</v>
      </c>
      <c r="G62" s="99">
        <v>0.7652777777777777</v>
      </c>
      <c r="H62" s="101"/>
      <c r="I62" s="92" t="str">
        <f>IFERROR(VLOOKUP(D62,'Công T5'!$C$7:$F$89,4,0),"")</f>
        <v>ĐT</v>
      </c>
      <c r="J62" s="92">
        <f t="shared" si="8"/>
        <v>0.2548611111</v>
      </c>
      <c r="K62" s="92">
        <f t="shared" si="1"/>
        <v>0.9506944444</v>
      </c>
      <c r="L62" s="92" t="str">
        <f>IFERROR(VLOOKUP(D62,'Công T5'!$C$7:$F$89,2,0),"")</f>
        <v/>
      </c>
      <c r="M62" s="92" t="str">
        <f>IFERROR(VLOOKUP(D62,'Công T5'!$C$7:$F$89,3,0),"")</f>
        <v/>
      </c>
      <c r="N62" s="92">
        <f t="shared" si="9"/>
        <v>0.3333333333</v>
      </c>
      <c r="O62" s="92">
        <f t="shared" si="2"/>
        <v>0.7083333333</v>
      </c>
      <c r="P62" s="94">
        <f t="shared" si="3"/>
        <v>0.5</v>
      </c>
      <c r="Q62" s="94">
        <f t="shared" si="4"/>
        <v>0.5</v>
      </c>
      <c r="R62" s="95">
        <f t="shared" si="5"/>
        <v>1</v>
      </c>
      <c r="S62" s="95">
        <f t="shared" si="6"/>
        <v>0</v>
      </c>
      <c r="T62" s="95">
        <f t="shared" si="7"/>
        <v>0</v>
      </c>
    </row>
    <row r="63">
      <c r="A63" s="96">
        <v>58.0</v>
      </c>
      <c r="B63" s="97">
        <v>44688.0</v>
      </c>
      <c r="C63" s="96">
        <v>10406.0</v>
      </c>
      <c r="D63" s="98" t="s">
        <v>59</v>
      </c>
      <c r="E63" s="98" t="s">
        <v>159</v>
      </c>
      <c r="F63" s="99">
        <v>0.9506944444444444</v>
      </c>
      <c r="G63" s="102"/>
      <c r="H63" s="101"/>
      <c r="I63" s="92" t="str">
        <f>IFERROR(VLOOKUP(D63,'Công T5'!$C$7:$F$89,4,0),"")</f>
        <v>ĐT</v>
      </c>
      <c r="J63" s="92">
        <f t="shared" si="8"/>
        <v>0.9506944444</v>
      </c>
      <c r="K63" s="92" t="str">
        <f t="shared" si="1"/>
        <v/>
      </c>
      <c r="L63" s="92" t="str">
        <f>IFERROR(VLOOKUP(D63,'Công T5'!$C$7:$F$89,2,0),"")</f>
        <v/>
      </c>
      <c r="M63" s="92" t="str">
        <f>IFERROR(VLOOKUP(D63,'Công T5'!$C$7:$F$89,3,0),"")</f>
        <v/>
      </c>
      <c r="N63" s="92">
        <f t="shared" si="9"/>
        <v>0.9506944444</v>
      </c>
      <c r="O63" s="92" t="str">
        <f t="shared" si="2"/>
        <v/>
      </c>
      <c r="P63" s="94">
        <f t="shared" si="3"/>
        <v>0</v>
      </c>
      <c r="Q63" s="94" t="str">
        <f t="shared" si="4"/>
        <v/>
      </c>
      <c r="R63" s="95">
        <f t="shared" si="5"/>
        <v>0.5</v>
      </c>
      <c r="S63" s="95" t="str">
        <f t="shared" si="6"/>
        <v/>
      </c>
      <c r="T63" s="95">
        <f t="shared" si="7"/>
        <v>1</v>
      </c>
    </row>
    <row r="64">
      <c r="A64" s="96">
        <v>59.0</v>
      </c>
      <c r="B64" s="97">
        <v>44689.0</v>
      </c>
      <c r="C64" s="96">
        <v>10406.0</v>
      </c>
      <c r="D64" s="98" t="s">
        <v>59</v>
      </c>
      <c r="E64" s="98" t="s">
        <v>159</v>
      </c>
      <c r="F64" s="99">
        <v>0.3229166666666667</v>
      </c>
      <c r="G64" s="99">
        <v>0.7138888888888889</v>
      </c>
      <c r="H64" s="101"/>
      <c r="I64" s="92" t="str">
        <f>IFERROR(VLOOKUP(D64,'Công T5'!$C$7:$F$89,4,0),"")</f>
        <v>ĐT</v>
      </c>
      <c r="J64" s="92">
        <f t="shared" si="8"/>
        <v>0.3229166667</v>
      </c>
      <c r="K64" s="92">
        <f t="shared" si="1"/>
        <v>0.7138888889</v>
      </c>
      <c r="L64" s="92" t="str">
        <f>IFERROR(VLOOKUP(D64,'Công T5'!$C$7:$F$89,2,0),"")</f>
        <v/>
      </c>
      <c r="M64" s="92" t="str">
        <f>IFERROR(VLOOKUP(D64,'Công T5'!$C$7:$F$89,3,0),"")</f>
        <v/>
      </c>
      <c r="N64" s="92">
        <f t="shared" si="9"/>
        <v>0.3333333333</v>
      </c>
      <c r="O64" s="92">
        <f t="shared" si="2"/>
        <v>0.7083333333</v>
      </c>
      <c r="P64" s="94">
        <f t="shared" si="3"/>
        <v>0.5</v>
      </c>
      <c r="Q64" s="94">
        <f t="shared" si="4"/>
        <v>0.5</v>
      </c>
      <c r="R64" s="95">
        <f t="shared" si="5"/>
        <v>1</v>
      </c>
      <c r="S64" s="95">
        <f t="shared" si="6"/>
        <v>0</v>
      </c>
      <c r="T64" s="95">
        <f t="shared" si="7"/>
        <v>0</v>
      </c>
    </row>
    <row r="65">
      <c r="A65" s="96">
        <v>60.0</v>
      </c>
      <c r="B65" s="97">
        <v>44690.0</v>
      </c>
      <c r="C65" s="96">
        <v>10406.0</v>
      </c>
      <c r="D65" s="98" t="s">
        <v>59</v>
      </c>
      <c r="E65" s="98" t="s">
        <v>159</v>
      </c>
      <c r="F65" s="99">
        <v>0.25972222222222224</v>
      </c>
      <c r="G65" s="99">
        <v>0.7576388888888889</v>
      </c>
      <c r="H65" s="101"/>
      <c r="I65" s="92" t="str">
        <f>IFERROR(VLOOKUP(D65,'Công T5'!$C$7:$F$89,4,0),"")</f>
        <v>ĐT</v>
      </c>
      <c r="J65" s="92">
        <f t="shared" si="8"/>
        <v>0.2597222222</v>
      </c>
      <c r="K65" s="92">
        <f t="shared" si="1"/>
        <v>0.7993055556</v>
      </c>
      <c r="L65" s="92" t="str">
        <f>IFERROR(VLOOKUP(D65,'Công T5'!$C$7:$F$89,2,0),"")</f>
        <v/>
      </c>
      <c r="M65" s="92" t="str">
        <f>IFERROR(VLOOKUP(D65,'Công T5'!$C$7:$F$89,3,0),"")</f>
        <v/>
      </c>
      <c r="N65" s="92">
        <f t="shared" si="9"/>
        <v>0.3333333333</v>
      </c>
      <c r="O65" s="92">
        <f t="shared" si="2"/>
        <v>0.7083333333</v>
      </c>
      <c r="P65" s="94">
        <f t="shared" si="3"/>
        <v>0.5</v>
      </c>
      <c r="Q65" s="94">
        <f t="shared" si="4"/>
        <v>0.5</v>
      </c>
      <c r="R65" s="95">
        <f t="shared" si="5"/>
        <v>1</v>
      </c>
      <c r="S65" s="95">
        <f t="shared" si="6"/>
        <v>0</v>
      </c>
      <c r="T65" s="95">
        <f t="shared" si="7"/>
        <v>0</v>
      </c>
    </row>
    <row r="66">
      <c r="A66" s="96">
        <v>61.0</v>
      </c>
      <c r="B66" s="97">
        <v>44690.0</v>
      </c>
      <c r="C66" s="96">
        <v>10406.0</v>
      </c>
      <c r="D66" s="98" t="s">
        <v>59</v>
      </c>
      <c r="E66" s="98" t="s">
        <v>159</v>
      </c>
      <c r="F66" s="99">
        <v>0.7993055555555556</v>
      </c>
      <c r="G66" s="102"/>
      <c r="H66" s="101"/>
      <c r="I66" s="92" t="str">
        <f>IFERROR(VLOOKUP(D66,'Công T5'!$C$7:$F$89,4,0),"")</f>
        <v>ĐT</v>
      </c>
      <c r="J66" s="92">
        <f t="shared" si="8"/>
        <v>0.7993055556</v>
      </c>
      <c r="K66" s="92" t="str">
        <f t="shared" si="1"/>
        <v/>
      </c>
      <c r="L66" s="92" t="str">
        <f>IFERROR(VLOOKUP(D66,'Công T5'!$C$7:$F$89,2,0),"")</f>
        <v/>
      </c>
      <c r="M66" s="92" t="str">
        <f>IFERROR(VLOOKUP(D66,'Công T5'!$C$7:$F$89,3,0),"")</f>
        <v/>
      </c>
      <c r="N66" s="92">
        <f t="shared" si="9"/>
        <v>0.7993055556</v>
      </c>
      <c r="O66" s="92" t="str">
        <f t="shared" si="2"/>
        <v/>
      </c>
      <c r="P66" s="94">
        <f t="shared" si="3"/>
        <v>0</v>
      </c>
      <c r="Q66" s="94" t="str">
        <f t="shared" si="4"/>
        <v/>
      </c>
      <c r="R66" s="95">
        <f t="shared" si="5"/>
        <v>0.5</v>
      </c>
      <c r="S66" s="95" t="str">
        <f t="shared" si="6"/>
        <v/>
      </c>
      <c r="T66" s="95">
        <f t="shared" si="7"/>
        <v>1</v>
      </c>
    </row>
    <row r="67">
      <c r="A67" s="96">
        <v>62.0</v>
      </c>
      <c r="B67" s="97">
        <v>44691.0</v>
      </c>
      <c r="C67" s="96">
        <v>10406.0</v>
      </c>
      <c r="D67" s="98" t="s">
        <v>59</v>
      </c>
      <c r="E67" s="98" t="s">
        <v>159</v>
      </c>
      <c r="F67" s="99">
        <v>0.25625</v>
      </c>
      <c r="G67" s="99">
        <v>0.8590277777777777</v>
      </c>
      <c r="H67" s="101"/>
      <c r="I67" s="92" t="str">
        <f>IFERROR(VLOOKUP(D67,'Công T5'!$C$7:$F$89,4,0),"")</f>
        <v>ĐT</v>
      </c>
      <c r="J67" s="92">
        <f t="shared" si="8"/>
        <v>0.25625</v>
      </c>
      <c r="K67" s="92">
        <f t="shared" si="1"/>
        <v>0.8590277778</v>
      </c>
      <c r="L67" s="92" t="str">
        <f>IFERROR(VLOOKUP(D67,'Công T5'!$C$7:$F$89,2,0),"")</f>
        <v/>
      </c>
      <c r="M67" s="92" t="str">
        <f>IFERROR(VLOOKUP(D67,'Công T5'!$C$7:$F$89,3,0),"")</f>
        <v/>
      </c>
      <c r="N67" s="92">
        <f t="shared" si="9"/>
        <v>0.3333333333</v>
      </c>
      <c r="O67" s="92">
        <f t="shared" si="2"/>
        <v>0.7083333333</v>
      </c>
      <c r="P67" s="94">
        <f t="shared" si="3"/>
        <v>0.5</v>
      </c>
      <c r="Q67" s="94">
        <f t="shared" si="4"/>
        <v>0.5</v>
      </c>
      <c r="R67" s="95">
        <f t="shared" si="5"/>
        <v>1</v>
      </c>
      <c r="S67" s="95">
        <f t="shared" si="6"/>
        <v>0</v>
      </c>
      <c r="T67" s="95">
        <f t="shared" si="7"/>
        <v>0</v>
      </c>
    </row>
    <row r="68">
      <c r="A68" s="96">
        <v>63.0</v>
      </c>
      <c r="B68" s="97">
        <v>44692.0</v>
      </c>
      <c r="C68" s="96">
        <v>10406.0</v>
      </c>
      <c r="D68" s="98" t="s">
        <v>59</v>
      </c>
      <c r="E68" s="98" t="s">
        <v>159</v>
      </c>
      <c r="F68" s="99">
        <v>0.25763888888888886</v>
      </c>
      <c r="G68" s="99">
        <v>0.7993055555555556</v>
      </c>
      <c r="H68" s="101"/>
      <c r="I68" s="92" t="str">
        <f>IFERROR(VLOOKUP(D68,'Công T5'!$C$7:$F$89,4,0),"")</f>
        <v>ĐT</v>
      </c>
      <c r="J68" s="92">
        <f t="shared" si="8"/>
        <v>0.2576388889</v>
      </c>
      <c r="K68" s="92">
        <f t="shared" si="1"/>
        <v>0.7993055556</v>
      </c>
      <c r="L68" s="92" t="str">
        <f>IFERROR(VLOOKUP(D68,'Công T5'!$C$7:$F$89,2,0),"")</f>
        <v/>
      </c>
      <c r="M68" s="92" t="str">
        <f>IFERROR(VLOOKUP(D68,'Công T5'!$C$7:$F$89,3,0),"")</f>
        <v/>
      </c>
      <c r="N68" s="92">
        <f t="shared" si="9"/>
        <v>0.3333333333</v>
      </c>
      <c r="O68" s="92">
        <f t="shared" si="2"/>
        <v>0.7083333333</v>
      </c>
      <c r="P68" s="94">
        <f t="shared" si="3"/>
        <v>0.5</v>
      </c>
      <c r="Q68" s="94">
        <f t="shared" si="4"/>
        <v>0.5</v>
      </c>
      <c r="R68" s="95">
        <f t="shared" si="5"/>
        <v>1</v>
      </c>
      <c r="S68" s="95">
        <f t="shared" si="6"/>
        <v>0</v>
      </c>
      <c r="T68" s="95">
        <f t="shared" si="7"/>
        <v>0</v>
      </c>
    </row>
    <row r="69">
      <c r="A69" s="96">
        <v>64.0</v>
      </c>
      <c r="B69" s="97">
        <v>44693.0</v>
      </c>
      <c r="C69" s="96">
        <v>10406.0</v>
      </c>
      <c r="D69" s="98" t="s">
        <v>59</v>
      </c>
      <c r="E69" s="98" t="s">
        <v>159</v>
      </c>
      <c r="F69" s="99">
        <v>0.25833333333333336</v>
      </c>
      <c r="G69" s="99">
        <v>0.9076388888888889</v>
      </c>
      <c r="H69" s="101"/>
      <c r="I69" s="92" t="str">
        <f>IFERROR(VLOOKUP(D69,'Công T5'!$C$7:$F$89,4,0),"")</f>
        <v>ĐT</v>
      </c>
      <c r="J69" s="92">
        <f t="shared" si="8"/>
        <v>0.2583333333</v>
      </c>
      <c r="K69" s="92">
        <f t="shared" si="1"/>
        <v>0.9076388889</v>
      </c>
      <c r="L69" s="92" t="str">
        <f>IFERROR(VLOOKUP(D69,'Công T5'!$C$7:$F$89,2,0),"")</f>
        <v/>
      </c>
      <c r="M69" s="92" t="str">
        <f>IFERROR(VLOOKUP(D69,'Công T5'!$C$7:$F$89,3,0),"")</f>
        <v/>
      </c>
      <c r="N69" s="92">
        <f t="shared" si="9"/>
        <v>0.3333333333</v>
      </c>
      <c r="O69" s="92">
        <f t="shared" si="2"/>
        <v>0.7083333333</v>
      </c>
      <c r="P69" s="94">
        <f t="shared" si="3"/>
        <v>0.5</v>
      </c>
      <c r="Q69" s="94">
        <f t="shared" si="4"/>
        <v>0.5</v>
      </c>
      <c r="R69" s="95">
        <f t="shared" si="5"/>
        <v>1</v>
      </c>
      <c r="S69" s="95">
        <f t="shared" si="6"/>
        <v>0</v>
      </c>
      <c r="T69" s="95">
        <f t="shared" si="7"/>
        <v>0</v>
      </c>
    </row>
    <row r="70">
      <c r="A70" s="96">
        <v>65.0</v>
      </c>
      <c r="B70" s="97">
        <v>44694.0</v>
      </c>
      <c r="C70" s="96">
        <v>10406.0</v>
      </c>
      <c r="D70" s="98" t="s">
        <v>59</v>
      </c>
      <c r="E70" s="98" t="s">
        <v>159</v>
      </c>
      <c r="F70" s="99">
        <v>0.2569444444444444</v>
      </c>
      <c r="G70" s="99">
        <v>0.7638888888888888</v>
      </c>
      <c r="H70" s="101"/>
      <c r="I70" s="92" t="str">
        <f>IFERROR(VLOOKUP(D70,'Công T5'!$C$7:$F$89,4,0),"")</f>
        <v>ĐT</v>
      </c>
      <c r="J70" s="92">
        <f t="shared" si="8"/>
        <v>0.2569444444</v>
      </c>
      <c r="K70" s="92">
        <f t="shared" si="1"/>
        <v>0.9090277778</v>
      </c>
      <c r="L70" s="92" t="str">
        <f>IFERROR(VLOOKUP(D70,'Công T5'!$C$7:$F$89,2,0),"")</f>
        <v/>
      </c>
      <c r="M70" s="92" t="str">
        <f>IFERROR(VLOOKUP(D70,'Công T5'!$C$7:$F$89,3,0),"")</f>
        <v/>
      </c>
      <c r="N70" s="92">
        <f t="shared" si="9"/>
        <v>0.3333333333</v>
      </c>
      <c r="O70" s="92">
        <f t="shared" si="2"/>
        <v>0.7083333333</v>
      </c>
      <c r="P70" s="94">
        <f t="shared" si="3"/>
        <v>0.5</v>
      </c>
      <c r="Q70" s="94">
        <f t="shared" si="4"/>
        <v>0.5</v>
      </c>
      <c r="R70" s="95">
        <f t="shared" si="5"/>
        <v>1</v>
      </c>
      <c r="S70" s="95">
        <f t="shared" si="6"/>
        <v>0</v>
      </c>
      <c r="T70" s="95">
        <f t="shared" si="7"/>
        <v>0</v>
      </c>
    </row>
    <row r="71">
      <c r="A71" s="96">
        <v>66.0</v>
      </c>
      <c r="B71" s="97">
        <v>44694.0</v>
      </c>
      <c r="C71" s="96">
        <v>10406.0</v>
      </c>
      <c r="D71" s="98" t="s">
        <v>59</v>
      </c>
      <c r="E71" s="98" t="s">
        <v>159</v>
      </c>
      <c r="F71" s="99">
        <v>0.9090277777777778</v>
      </c>
      <c r="G71" s="102"/>
      <c r="H71" s="101"/>
      <c r="I71" s="92" t="str">
        <f>IFERROR(VLOOKUP(D71,'Công T5'!$C$7:$F$89,4,0),"")</f>
        <v>ĐT</v>
      </c>
      <c r="J71" s="92">
        <f t="shared" si="8"/>
        <v>0.9090277778</v>
      </c>
      <c r="K71" s="92" t="str">
        <f t="shared" si="1"/>
        <v/>
      </c>
      <c r="L71" s="92" t="str">
        <f>IFERROR(VLOOKUP(D71,'Công T5'!$C$7:$F$89,2,0),"")</f>
        <v/>
      </c>
      <c r="M71" s="92" t="str">
        <f>IFERROR(VLOOKUP(D71,'Công T5'!$C$7:$F$89,3,0),"")</f>
        <v/>
      </c>
      <c r="N71" s="92">
        <f t="shared" si="9"/>
        <v>0.9090277778</v>
      </c>
      <c r="O71" s="92" t="str">
        <f t="shared" si="2"/>
        <v/>
      </c>
      <c r="P71" s="94">
        <f t="shared" si="3"/>
        <v>0</v>
      </c>
      <c r="Q71" s="94" t="str">
        <f t="shared" si="4"/>
        <v/>
      </c>
      <c r="R71" s="95">
        <f t="shared" si="5"/>
        <v>0.5</v>
      </c>
      <c r="S71" s="95" t="str">
        <f t="shared" si="6"/>
        <v/>
      </c>
      <c r="T71" s="95">
        <f t="shared" si="7"/>
        <v>1</v>
      </c>
    </row>
    <row r="72">
      <c r="A72" s="96">
        <v>67.0</v>
      </c>
      <c r="B72" s="97">
        <v>44695.0</v>
      </c>
      <c r="C72" s="96">
        <v>10406.0</v>
      </c>
      <c r="D72" s="98" t="s">
        <v>59</v>
      </c>
      <c r="E72" s="98" t="s">
        <v>159</v>
      </c>
      <c r="F72" s="99">
        <v>0.25555555555555554</v>
      </c>
      <c r="G72" s="99">
        <v>0.3263888888888889</v>
      </c>
      <c r="H72" s="101"/>
      <c r="I72" s="92" t="str">
        <f>IFERROR(VLOOKUP(D72,'Công T5'!$C$7:$F$89,4,0),"")</f>
        <v>ĐT</v>
      </c>
      <c r="J72" s="92">
        <f t="shared" si="8"/>
        <v>0.2555555556</v>
      </c>
      <c r="K72" s="92">
        <f t="shared" si="1"/>
        <v>0.7333333333</v>
      </c>
      <c r="L72" s="92" t="str">
        <f>IFERROR(VLOOKUP(D72,'Công T5'!$C$7:$F$89,2,0),"")</f>
        <v/>
      </c>
      <c r="M72" s="92" t="str">
        <f>IFERROR(VLOOKUP(D72,'Công T5'!$C$7:$F$89,3,0),"")</f>
        <v/>
      </c>
      <c r="N72" s="92">
        <f t="shared" si="9"/>
        <v>0.3333333333</v>
      </c>
      <c r="O72" s="92">
        <f t="shared" si="2"/>
        <v>0.7083333333</v>
      </c>
      <c r="P72" s="94">
        <f t="shared" si="3"/>
        <v>0.5</v>
      </c>
      <c r="Q72" s="94">
        <f t="shared" si="4"/>
        <v>0.5</v>
      </c>
      <c r="R72" s="95">
        <f t="shared" si="5"/>
        <v>1</v>
      </c>
      <c r="S72" s="95">
        <f t="shared" si="6"/>
        <v>0</v>
      </c>
      <c r="T72" s="95">
        <f t="shared" si="7"/>
        <v>0</v>
      </c>
    </row>
    <row r="73">
      <c r="A73" s="96">
        <v>68.0</v>
      </c>
      <c r="B73" s="97">
        <v>44695.0</v>
      </c>
      <c r="C73" s="96">
        <v>10406.0</v>
      </c>
      <c r="D73" s="98" t="s">
        <v>59</v>
      </c>
      <c r="E73" s="98" t="s">
        <v>159</v>
      </c>
      <c r="F73" s="99">
        <v>0.7111111111111111</v>
      </c>
      <c r="G73" s="99">
        <v>0.7333333333333333</v>
      </c>
      <c r="H73" s="101"/>
      <c r="I73" s="92" t="str">
        <f>IFERROR(VLOOKUP(D73,'Công T5'!$C$7:$F$89,4,0),"")</f>
        <v>ĐT</v>
      </c>
      <c r="J73" s="92">
        <f t="shared" si="8"/>
        <v>0.7111111111</v>
      </c>
      <c r="K73" s="92">
        <f t="shared" si="1"/>
        <v>0.7333333333</v>
      </c>
      <c r="L73" s="92" t="str">
        <f>IFERROR(VLOOKUP(D73,'Công T5'!$C$7:$F$89,2,0),"")</f>
        <v/>
      </c>
      <c r="M73" s="92" t="str">
        <f>IFERROR(VLOOKUP(D73,'Công T5'!$C$7:$F$89,3,0),"")</f>
        <v/>
      </c>
      <c r="N73" s="92">
        <f t="shared" si="9"/>
        <v>0.7111111111</v>
      </c>
      <c r="O73" s="92">
        <f t="shared" si="2"/>
        <v>0.7083333333</v>
      </c>
      <c r="P73" s="94">
        <f t="shared" si="3"/>
        <v>0</v>
      </c>
      <c r="Q73" s="94">
        <f t="shared" si="4"/>
        <v>0.5</v>
      </c>
      <c r="R73" s="95">
        <f t="shared" si="5"/>
        <v>0.5</v>
      </c>
      <c r="S73" s="95">
        <f t="shared" si="6"/>
        <v>1</v>
      </c>
      <c r="T73" s="95">
        <f t="shared" si="7"/>
        <v>0</v>
      </c>
    </row>
    <row r="74">
      <c r="A74" s="96">
        <v>69.0</v>
      </c>
      <c r="B74" s="97">
        <v>44697.0</v>
      </c>
      <c r="C74" s="96">
        <v>10406.0</v>
      </c>
      <c r="D74" s="98" t="s">
        <v>59</v>
      </c>
      <c r="E74" s="98" t="s">
        <v>159</v>
      </c>
      <c r="F74" s="99">
        <v>0.3194444444444444</v>
      </c>
      <c r="G74" s="99">
        <v>0.81875</v>
      </c>
      <c r="H74" s="101"/>
      <c r="I74" s="92" t="str">
        <f>IFERROR(VLOOKUP(D74,'Công T5'!$C$7:$F$89,4,0),"")</f>
        <v>ĐT</v>
      </c>
      <c r="J74" s="92">
        <f t="shared" si="8"/>
        <v>0.3194444444</v>
      </c>
      <c r="K74" s="92">
        <f t="shared" si="1"/>
        <v>0.94375</v>
      </c>
      <c r="L74" s="92" t="str">
        <f>IFERROR(VLOOKUP(D74,'Công T5'!$C$7:$F$89,2,0),"")</f>
        <v/>
      </c>
      <c r="M74" s="92" t="str">
        <f>IFERROR(VLOOKUP(D74,'Công T5'!$C$7:$F$89,3,0),"")</f>
        <v/>
      </c>
      <c r="N74" s="92">
        <f t="shared" si="9"/>
        <v>0.3333333333</v>
      </c>
      <c r="O74" s="92">
        <f t="shared" si="2"/>
        <v>0.7083333333</v>
      </c>
      <c r="P74" s="94">
        <f t="shared" si="3"/>
        <v>0.5</v>
      </c>
      <c r="Q74" s="94">
        <f t="shared" si="4"/>
        <v>0.5</v>
      </c>
      <c r="R74" s="95">
        <f t="shared" si="5"/>
        <v>1</v>
      </c>
      <c r="S74" s="95">
        <f t="shared" si="6"/>
        <v>0</v>
      </c>
      <c r="T74" s="95">
        <f t="shared" si="7"/>
        <v>0</v>
      </c>
    </row>
    <row r="75">
      <c r="A75" s="96">
        <v>70.0</v>
      </c>
      <c r="B75" s="97">
        <v>44697.0</v>
      </c>
      <c r="C75" s="96">
        <v>10406.0</v>
      </c>
      <c r="D75" s="98" t="s">
        <v>59</v>
      </c>
      <c r="E75" s="98" t="s">
        <v>159</v>
      </c>
      <c r="F75" s="99">
        <v>0.94375</v>
      </c>
      <c r="G75" s="102"/>
      <c r="H75" s="101"/>
      <c r="I75" s="92" t="str">
        <f>IFERROR(VLOOKUP(D75,'Công T5'!$C$7:$F$89,4,0),"")</f>
        <v>ĐT</v>
      </c>
      <c r="J75" s="92">
        <f t="shared" si="8"/>
        <v>0.94375</v>
      </c>
      <c r="K75" s="92" t="str">
        <f t="shared" si="1"/>
        <v/>
      </c>
      <c r="L75" s="92" t="str">
        <f>IFERROR(VLOOKUP(D75,'Công T5'!$C$7:$F$89,2,0),"")</f>
        <v/>
      </c>
      <c r="M75" s="92" t="str">
        <f>IFERROR(VLOOKUP(D75,'Công T5'!$C$7:$F$89,3,0),"")</f>
        <v/>
      </c>
      <c r="N75" s="92">
        <f t="shared" si="9"/>
        <v>0.94375</v>
      </c>
      <c r="O75" s="92" t="str">
        <f t="shared" si="2"/>
        <v/>
      </c>
      <c r="P75" s="94">
        <f t="shared" si="3"/>
        <v>0</v>
      </c>
      <c r="Q75" s="94" t="str">
        <f t="shared" si="4"/>
        <v/>
      </c>
      <c r="R75" s="95">
        <f t="shared" si="5"/>
        <v>0.5</v>
      </c>
      <c r="S75" s="95" t="str">
        <f t="shared" si="6"/>
        <v/>
      </c>
      <c r="T75" s="95">
        <f t="shared" si="7"/>
        <v>1</v>
      </c>
    </row>
    <row r="76">
      <c r="A76" s="96">
        <v>71.0</v>
      </c>
      <c r="B76" s="97">
        <v>44698.0</v>
      </c>
      <c r="C76" s="96">
        <v>10406.0</v>
      </c>
      <c r="D76" s="98" t="s">
        <v>59</v>
      </c>
      <c r="E76" s="98" t="s">
        <v>159</v>
      </c>
      <c r="F76" s="99">
        <v>0.23194444444444445</v>
      </c>
      <c r="G76" s="99">
        <v>0.31527777777777777</v>
      </c>
      <c r="H76" s="101"/>
      <c r="I76" s="92" t="str">
        <f>IFERROR(VLOOKUP(D76,'Công T5'!$C$7:$F$89,4,0),"")</f>
        <v>ĐT</v>
      </c>
      <c r="J76" s="92">
        <f t="shared" si="8"/>
        <v>0.2319444444</v>
      </c>
      <c r="K76" s="92">
        <f t="shared" si="1"/>
        <v>0.8701388889</v>
      </c>
      <c r="L76" s="92" t="str">
        <f>IFERROR(VLOOKUP(D76,'Công T5'!$C$7:$F$89,2,0),"")</f>
        <v/>
      </c>
      <c r="M76" s="92" t="str">
        <f>IFERROR(VLOOKUP(D76,'Công T5'!$C$7:$F$89,3,0),"")</f>
        <v/>
      </c>
      <c r="N76" s="92">
        <f t="shared" si="9"/>
        <v>0.3333333333</v>
      </c>
      <c r="O76" s="92">
        <f t="shared" si="2"/>
        <v>0.7083333333</v>
      </c>
      <c r="P76" s="94">
        <f t="shared" si="3"/>
        <v>0.5</v>
      </c>
      <c r="Q76" s="94">
        <f t="shared" si="4"/>
        <v>0.5</v>
      </c>
      <c r="R76" s="95">
        <f t="shared" si="5"/>
        <v>1</v>
      </c>
      <c r="S76" s="95">
        <f t="shared" si="6"/>
        <v>0</v>
      </c>
      <c r="T76" s="95">
        <f t="shared" si="7"/>
        <v>0</v>
      </c>
    </row>
    <row r="77">
      <c r="A77" s="96">
        <v>72.0</v>
      </c>
      <c r="B77" s="97">
        <v>44698.0</v>
      </c>
      <c r="C77" s="96">
        <v>10406.0</v>
      </c>
      <c r="D77" s="98" t="s">
        <v>59</v>
      </c>
      <c r="E77" s="98" t="s">
        <v>159</v>
      </c>
      <c r="F77" s="99">
        <v>0.7409722222222223</v>
      </c>
      <c r="G77" s="99">
        <v>0.8701388888888889</v>
      </c>
      <c r="H77" s="101"/>
      <c r="I77" s="92" t="str">
        <f>IFERROR(VLOOKUP(D77,'Công T5'!$C$7:$F$89,4,0),"")</f>
        <v>ĐT</v>
      </c>
      <c r="J77" s="92">
        <f t="shared" si="8"/>
        <v>0.7409722222</v>
      </c>
      <c r="K77" s="92">
        <f t="shared" si="1"/>
        <v>0.8701388889</v>
      </c>
      <c r="L77" s="92" t="str">
        <f>IFERROR(VLOOKUP(D77,'Công T5'!$C$7:$F$89,2,0),"")</f>
        <v/>
      </c>
      <c r="M77" s="92" t="str">
        <f>IFERROR(VLOOKUP(D77,'Công T5'!$C$7:$F$89,3,0),"")</f>
        <v/>
      </c>
      <c r="N77" s="92">
        <f t="shared" si="9"/>
        <v>0.7409722222</v>
      </c>
      <c r="O77" s="92">
        <f t="shared" si="2"/>
        <v>0.7083333333</v>
      </c>
      <c r="P77" s="94">
        <f t="shared" si="3"/>
        <v>0</v>
      </c>
      <c r="Q77" s="94">
        <f t="shared" si="4"/>
        <v>0.5</v>
      </c>
      <c r="R77" s="95">
        <f t="shared" si="5"/>
        <v>0.5</v>
      </c>
      <c r="S77" s="95">
        <f t="shared" si="6"/>
        <v>1</v>
      </c>
      <c r="T77" s="95">
        <f t="shared" si="7"/>
        <v>0</v>
      </c>
    </row>
    <row r="78">
      <c r="A78" s="96">
        <v>73.0</v>
      </c>
      <c r="B78" s="97">
        <v>44699.0</v>
      </c>
      <c r="C78" s="96">
        <v>10406.0</v>
      </c>
      <c r="D78" s="98" t="s">
        <v>59</v>
      </c>
      <c r="E78" s="98" t="s">
        <v>159</v>
      </c>
      <c r="F78" s="99">
        <v>0.3263888888888889</v>
      </c>
      <c r="G78" s="99">
        <v>0.7854166666666667</v>
      </c>
      <c r="H78" s="101"/>
      <c r="I78" s="92" t="str">
        <f>IFERROR(VLOOKUP(D78,'Công T5'!$C$7:$F$89,4,0),"")</f>
        <v>ĐT</v>
      </c>
      <c r="J78" s="92">
        <f t="shared" si="8"/>
        <v>0.3263888889</v>
      </c>
      <c r="K78" s="92">
        <f t="shared" si="1"/>
        <v>0.9097222222</v>
      </c>
      <c r="L78" s="92" t="str">
        <f>IFERROR(VLOOKUP(D78,'Công T5'!$C$7:$F$89,2,0),"")</f>
        <v/>
      </c>
      <c r="M78" s="92" t="str">
        <f>IFERROR(VLOOKUP(D78,'Công T5'!$C$7:$F$89,3,0),"")</f>
        <v/>
      </c>
      <c r="N78" s="92">
        <f t="shared" si="9"/>
        <v>0.3333333333</v>
      </c>
      <c r="O78" s="92">
        <f t="shared" si="2"/>
        <v>0.7083333333</v>
      </c>
      <c r="P78" s="94">
        <f t="shared" si="3"/>
        <v>0.5</v>
      </c>
      <c r="Q78" s="94">
        <f t="shared" si="4"/>
        <v>0.5</v>
      </c>
      <c r="R78" s="95">
        <f t="shared" si="5"/>
        <v>1</v>
      </c>
      <c r="S78" s="95">
        <f t="shared" si="6"/>
        <v>0</v>
      </c>
      <c r="T78" s="95">
        <f t="shared" si="7"/>
        <v>0</v>
      </c>
    </row>
    <row r="79">
      <c r="A79" s="96">
        <v>74.0</v>
      </c>
      <c r="B79" s="97">
        <v>44699.0</v>
      </c>
      <c r="C79" s="96">
        <v>10406.0</v>
      </c>
      <c r="D79" s="98" t="s">
        <v>59</v>
      </c>
      <c r="E79" s="98" t="s">
        <v>159</v>
      </c>
      <c r="F79" s="99">
        <v>0.9097222222222222</v>
      </c>
      <c r="G79" s="102"/>
      <c r="H79" s="101"/>
      <c r="I79" s="92" t="str">
        <f>IFERROR(VLOOKUP(D79,'Công T5'!$C$7:$F$89,4,0),"")</f>
        <v>ĐT</v>
      </c>
      <c r="J79" s="92">
        <f t="shared" si="8"/>
        <v>0.9097222222</v>
      </c>
      <c r="K79" s="92" t="str">
        <f t="shared" si="1"/>
        <v/>
      </c>
      <c r="L79" s="92" t="str">
        <f>IFERROR(VLOOKUP(D79,'Công T5'!$C$7:$F$89,2,0),"")</f>
        <v/>
      </c>
      <c r="M79" s="92" t="str">
        <f>IFERROR(VLOOKUP(D79,'Công T5'!$C$7:$F$89,3,0),"")</f>
        <v/>
      </c>
      <c r="N79" s="92">
        <f t="shared" si="9"/>
        <v>0.9097222222</v>
      </c>
      <c r="O79" s="92" t="str">
        <f t="shared" si="2"/>
        <v/>
      </c>
      <c r="P79" s="94">
        <f t="shared" si="3"/>
        <v>0</v>
      </c>
      <c r="Q79" s="94" t="str">
        <f t="shared" si="4"/>
        <v/>
      </c>
      <c r="R79" s="95">
        <f t="shared" si="5"/>
        <v>0.5</v>
      </c>
      <c r="S79" s="95" t="str">
        <f t="shared" si="6"/>
        <v/>
      </c>
      <c r="T79" s="95">
        <f t="shared" si="7"/>
        <v>1</v>
      </c>
    </row>
    <row r="80">
      <c r="A80" s="96">
        <v>75.0</v>
      </c>
      <c r="B80" s="97">
        <v>44700.0</v>
      </c>
      <c r="C80" s="96">
        <v>10406.0</v>
      </c>
      <c r="D80" s="98" t="s">
        <v>59</v>
      </c>
      <c r="E80" s="98" t="s">
        <v>159</v>
      </c>
      <c r="F80" s="99">
        <v>0.33055555555555555</v>
      </c>
      <c r="G80" s="99">
        <v>0.7159722222222222</v>
      </c>
      <c r="H80" s="101"/>
      <c r="I80" s="92" t="str">
        <f>IFERROR(VLOOKUP(D80,'Công T5'!$C$7:$F$89,4,0),"")</f>
        <v>ĐT</v>
      </c>
      <c r="J80" s="92">
        <f t="shared" si="8"/>
        <v>0.3305555556</v>
      </c>
      <c r="K80" s="92">
        <f t="shared" si="1"/>
        <v>0.7930555556</v>
      </c>
      <c r="L80" s="92" t="str">
        <f>IFERROR(VLOOKUP(D80,'Công T5'!$C$7:$F$89,2,0),"")</f>
        <v/>
      </c>
      <c r="M80" s="92" t="str">
        <f>IFERROR(VLOOKUP(D80,'Công T5'!$C$7:$F$89,3,0),"")</f>
        <v/>
      </c>
      <c r="N80" s="92">
        <f t="shared" si="9"/>
        <v>0.3333333333</v>
      </c>
      <c r="O80" s="92">
        <f t="shared" si="2"/>
        <v>0.7083333333</v>
      </c>
      <c r="P80" s="94">
        <f t="shared" si="3"/>
        <v>0.5</v>
      </c>
      <c r="Q80" s="94">
        <f t="shared" si="4"/>
        <v>0.5</v>
      </c>
      <c r="R80" s="95">
        <f t="shared" si="5"/>
        <v>1</v>
      </c>
      <c r="S80" s="95">
        <f t="shared" si="6"/>
        <v>0</v>
      </c>
      <c r="T80" s="95">
        <f t="shared" si="7"/>
        <v>0</v>
      </c>
    </row>
    <row r="81">
      <c r="A81" s="96">
        <v>76.0</v>
      </c>
      <c r="B81" s="97">
        <v>44700.0</v>
      </c>
      <c r="C81" s="96">
        <v>10406.0</v>
      </c>
      <c r="D81" s="98" t="s">
        <v>59</v>
      </c>
      <c r="E81" s="98" t="s">
        <v>159</v>
      </c>
      <c r="F81" s="99">
        <v>0.7930555555555555</v>
      </c>
      <c r="G81" s="102"/>
      <c r="H81" s="101"/>
      <c r="I81" s="92" t="str">
        <f>IFERROR(VLOOKUP(D81,'Công T5'!$C$7:$F$89,4,0),"")</f>
        <v>ĐT</v>
      </c>
      <c r="J81" s="92">
        <f t="shared" si="8"/>
        <v>0.7930555556</v>
      </c>
      <c r="K81" s="92" t="str">
        <f t="shared" si="1"/>
        <v/>
      </c>
      <c r="L81" s="92" t="str">
        <f>IFERROR(VLOOKUP(D81,'Công T5'!$C$7:$F$89,2,0),"")</f>
        <v/>
      </c>
      <c r="M81" s="92" t="str">
        <f>IFERROR(VLOOKUP(D81,'Công T5'!$C$7:$F$89,3,0),"")</f>
        <v/>
      </c>
      <c r="N81" s="92">
        <f t="shared" si="9"/>
        <v>0.7930555556</v>
      </c>
      <c r="O81" s="92" t="str">
        <f t="shared" si="2"/>
        <v/>
      </c>
      <c r="P81" s="94">
        <f t="shared" si="3"/>
        <v>0</v>
      </c>
      <c r="Q81" s="94" t="str">
        <f t="shared" si="4"/>
        <v/>
      </c>
      <c r="R81" s="95">
        <f t="shared" si="5"/>
        <v>0.5</v>
      </c>
      <c r="S81" s="95" t="str">
        <f t="shared" si="6"/>
        <v/>
      </c>
      <c r="T81" s="95">
        <f t="shared" si="7"/>
        <v>1</v>
      </c>
    </row>
    <row r="82">
      <c r="A82" s="96">
        <v>77.0</v>
      </c>
      <c r="B82" s="97">
        <v>44701.0</v>
      </c>
      <c r="C82" s="96">
        <v>10406.0</v>
      </c>
      <c r="D82" s="98" t="s">
        <v>59</v>
      </c>
      <c r="E82" s="98" t="s">
        <v>159</v>
      </c>
      <c r="F82" s="99">
        <v>0.2569444444444444</v>
      </c>
      <c r="G82" s="99">
        <v>0.7430555555555556</v>
      </c>
      <c r="H82" s="101"/>
      <c r="I82" s="92" t="str">
        <f>IFERROR(VLOOKUP(D82,'Công T5'!$C$7:$F$89,4,0),"")</f>
        <v>ĐT</v>
      </c>
      <c r="J82" s="92">
        <f t="shared" si="8"/>
        <v>0.2569444444</v>
      </c>
      <c r="K82" s="92">
        <f t="shared" si="1"/>
        <v>0.78125</v>
      </c>
      <c r="L82" s="92" t="str">
        <f>IFERROR(VLOOKUP(D82,'Công T5'!$C$7:$F$89,2,0),"")</f>
        <v/>
      </c>
      <c r="M82" s="92" t="str">
        <f>IFERROR(VLOOKUP(D82,'Công T5'!$C$7:$F$89,3,0),"")</f>
        <v/>
      </c>
      <c r="N82" s="92">
        <f t="shared" si="9"/>
        <v>0.3333333333</v>
      </c>
      <c r="O82" s="92">
        <f t="shared" si="2"/>
        <v>0.7083333333</v>
      </c>
      <c r="P82" s="94">
        <f t="shared" si="3"/>
        <v>0.5</v>
      </c>
      <c r="Q82" s="94">
        <f t="shared" si="4"/>
        <v>0.5</v>
      </c>
      <c r="R82" s="95">
        <f t="shared" si="5"/>
        <v>1</v>
      </c>
      <c r="S82" s="95">
        <f t="shared" si="6"/>
        <v>0</v>
      </c>
      <c r="T82" s="95">
        <f t="shared" si="7"/>
        <v>0</v>
      </c>
    </row>
    <row r="83">
      <c r="A83" s="96">
        <v>78.0</v>
      </c>
      <c r="B83" s="97">
        <v>44701.0</v>
      </c>
      <c r="C83" s="96">
        <v>10406.0</v>
      </c>
      <c r="D83" s="98" t="s">
        <v>59</v>
      </c>
      <c r="E83" s="98" t="s">
        <v>159</v>
      </c>
      <c r="F83" s="99">
        <v>0.78125</v>
      </c>
      <c r="G83" s="102"/>
      <c r="H83" s="101"/>
      <c r="I83" s="92" t="str">
        <f>IFERROR(VLOOKUP(D83,'Công T5'!$C$7:$F$89,4,0),"")</f>
        <v>ĐT</v>
      </c>
      <c r="J83" s="92">
        <f t="shared" si="8"/>
        <v>0.78125</v>
      </c>
      <c r="K83" s="92" t="str">
        <f t="shared" si="1"/>
        <v/>
      </c>
      <c r="L83" s="92" t="str">
        <f>IFERROR(VLOOKUP(D83,'Công T5'!$C$7:$F$89,2,0),"")</f>
        <v/>
      </c>
      <c r="M83" s="92" t="str">
        <f>IFERROR(VLOOKUP(D83,'Công T5'!$C$7:$F$89,3,0),"")</f>
        <v/>
      </c>
      <c r="N83" s="92">
        <f t="shared" si="9"/>
        <v>0.78125</v>
      </c>
      <c r="O83" s="92" t="str">
        <f t="shared" si="2"/>
        <v/>
      </c>
      <c r="P83" s="94">
        <f t="shared" si="3"/>
        <v>0</v>
      </c>
      <c r="Q83" s="94" t="str">
        <f t="shared" si="4"/>
        <v/>
      </c>
      <c r="R83" s="95">
        <f t="shared" si="5"/>
        <v>0.5</v>
      </c>
      <c r="S83" s="95" t="str">
        <f t="shared" si="6"/>
        <v/>
      </c>
      <c r="T83" s="95">
        <f t="shared" si="7"/>
        <v>1</v>
      </c>
    </row>
    <row r="84">
      <c r="A84" s="96">
        <v>79.0</v>
      </c>
      <c r="B84" s="97">
        <v>44702.0</v>
      </c>
      <c r="C84" s="96">
        <v>10406.0</v>
      </c>
      <c r="D84" s="98" t="s">
        <v>59</v>
      </c>
      <c r="E84" s="98" t="s">
        <v>159</v>
      </c>
      <c r="F84" s="99">
        <v>0.20416666666666666</v>
      </c>
      <c r="G84" s="99">
        <v>0.3277777777777778</v>
      </c>
      <c r="H84" s="101"/>
      <c r="I84" s="92" t="str">
        <f>IFERROR(VLOOKUP(D84,'Công T5'!$C$7:$F$89,4,0),"")</f>
        <v>ĐT</v>
      </c>
      <c r="J84" s="92">
        <f t="shared" si="8"/>
        <v>0.2041666667</v>
      </c>
      <c r="K84" s="92">
        <f t="shared" si="1"/>
        <v>0.7965277778</v>
      </c>
      <c r="L84" s="92" t="str">
        <f>IFERROR(VLOOKUP(D84,'Công T5'!$C$7:$F$89,2,0),"")</f>
        <v/>
      </c>
      <c r="M84" s="92" t="str">
        <f>IFERROR(VLOOKUP(D84,'Công T5'!$C$7:$F$89,3,0),"")</f>
        <v/>
      </c>
      <c r="N84" s="92">
        <f t="shared" si="9"/>
        <v>0.3333333333</v>
      </c>
      <c r="O84" s="92">
        <f t="shared" si="2"/>
        <v>0.7083333333</v>
      </c>
      <c r="P84" s="94">
        <f t="shared" si="3"/>
        <v>0.5</v>
      </c>
      <c r="Q84" s="94">
        <f t="shared" si="4"/>
        <v>0.5</v>
      </c>
      <c r="R84" s="95">
        <f t="shared" si="5"/>
        <v>1</v>
      </c>
      <c r="S84" s="95">
        <f t="shared" si="6"/>
        <v>0</v>
      </c>
      <c r="T84" s="95">
        <f t="shared" si="7"/>
        <v>0</v>
      </c>
    </row>
    <row r="85">
      <c r="A85" s="96">
        <v>80.0</v>
      </c>
      <c r="B85" s="97">
        <v>44702.0</v>
      </c>
      <c r="C85" s="96">
        <v>10406.0</v>
      </c>
      <c r="D85" s="98" t="s">
        <v>59</v>
      </c>
      <c r="E85" s="98" t="s">
        <v>159</v>
      </c>
      <c r="F85" s="99">
        <v>0.7965277777777777</v>
      </c>
      <c r="G85" s="102"/>
      <c r="H85" s="101"/>
      <c r="I85" s="92" t="str">
        <f>IFERROR(VLOOKUP(D85,'Công T5'!$C$7:$F$89,4,0),"")</f>
        <v>ĐT</v>
      </c>
      <c r="J85" s="92">
        <f t="shared" si="8"/>
        <v>0.7965277778</v>
      </c>
      <c r="K85" s="92" t="str">
        <f t="shared" si="1"/>
        <v/>
      </c>
      <c r="L85" s="92" t="str">
        <f>IFERROR(VLOOKUP(D85,'Công T5'!$C$7:$F$89,2,0),"")</f>
        <v/>
      </c>
      <c r="M85" s="92" t="str">
        <f>IFERROR(VLOOKUP(D85,'Công T5'!$C$7:$F$89,3,0),"")</f>
        <v/>
      </c>
      <c r="N85" s="92">
        <f t="shared" si="9"/>
        <v>0.7965277778</v>
      </c>
      <c r="O85" s="92" t="str">
        <f t="shared" si="2"/>
        <v/>
      </c>
      <c r="P85" s="94">
        <f t="shared" si="3"/>
        <v>0</v>
      </c>
      <c r="Q85" s="94" t="str">
        <f t="shared" si="4"/>
        <v/>
      </c>
      <c r="R85" s="95">
        <f t="shared" si="5"/>
        <v>0.5</v>
      </c>
      <c r="S85" s="95" t="str">
        <f t="shared" si="6"/>
        <v/>
      </c>
      <c r="T85" s="95">
        <f t="shared" si="7"/>
        <v>1</v>
      </c>
    </row>
    <row r="86">
      <c r="A86" s="96">
        <v>81.0</v>
      </c>
      <c r="B86" s="97">
        <v>44703.0</v>
      </c>
      <c r="C86" s="96">
        <v>10406.0</v>
      </c>
      <c r="D86" s="98" t="s">
        <v>59</v>
      </c>
      <c r="E86" s="98" t="s">
        <v>159</v>
      </c>
      <c r="F86" s="99">
        <v>0.3333333333333333</v>
      </c>
      <c r="G86" s="99">
        <v>0.7215277777777778</v>
      </c>
      <c r="H86" s="101"/>
      <c r="I86" s="92" t="str">
        <f>IFERROR(VLOOKUP(D86,'Công T5'!$C$7:$F$89,4,0),"")</f>
        <v>ĐT</v>
      </c>
      <c r="J86" s="92">
        <f t="shared" si="8"/>
        <v>0.3333333333</v>
      </c>
      <c r="K86" s="92">
        <f t="shared" si="1"/>
        <v>0.7770833333</v>
      </c>
      <c r="L86" s="92" t="str">
        <f>IFERROR(VLOOKUP(D86,'Công T5'!$C$7:$F$89,2,0),"")</f>
        <v/>
      </c>
      <c r="M86" s="92" t="str">
        <f>IFERROR(VLOOKUP(D86,'Công T5'!$C$7:$F$89,3,0),"")</f>
        <v/>
      </c>
      <c r="N86" s="92">
        <f t="shared" si="9"/>
        <v>0.3333333333</v>
      </c>
      <c r="O86" s="92">
        <f t="shared" si="2"/>
        <v>0.7083333333</v>
      </c>
      <c r="P86" s="94">
        <f t="shared" si="3"/>
        <v>0.5</v>
      </c>
      <c r="Q86" s="94">
        <f t="shared" si="4"/>
        <v>0.5</v>
      </c>
      <c r="R86" s="95">
        <f t="shared" si="5"/>
        <v>1</v>
      </c>
      <c r="S86" s="95">
        <f t="shared" si="6"/>
        <v>0</v>
      </c>
      <c r="T86" s="95">
        <f t="shared" si="7"/>
        <v>0</v>
      </c>
    </row>
    <row r="87">
      <c r="A87" s="96">
        <v>82.0</v>
      </c>
      <c r="B87" s="97">
        <v>44703.0</v>
      </c>
      <c r="C87" s="96">
        <v>10406.0</v>
      </c>
      <c r="D87" s="98" t="s">
        <v>59</v>
      </c>
      <c r="E87" s="98" t="s">
        <v>159</v>
      </c>
      <c r="F87" s="99">
        <v>0.7770833333333333</v>
      </c>
      <c r="G87" s="102"/>
      <c r="H87" s="101"/>
      <c r="I87" s="92" t="str">
        <f>IFERROR(VLOOKUP(D87,'Công T5'!$C$7:$F$89,4,0),"")</f>
        <v>ĐT</v>
      </c>
      <c r="J87" s="92">
        <f t="shared" si="8"/>
        <v>0.7770833333</v>
      </c>
      <c r="K87" s="92" t="str">
        <f t="shared" si="1"/>
        <v/>
      </c>
      <c r="L87" s="92" t="str">
        <f>IFERROR(VLOOKUP(D87,'Công T5'!$C$7:$F$89,2,0),"")</f>
        <v/>
      </c>
      <c r="M87" s="92" t="str">
        <f>IFERROR(VLOOKUP(D87,'Công T5'!$C$7:$F$89,3,0),"")</f>
        <v/>
      </c>
      <c r="N87" s="92">
        <f t="shared" si="9"/>
        <v>0.7770833333</v>
      </c>
      <c r="O87" s="92" t="str">
        <f t="shared" si="2"/>
        <v/>
      </c>
      <c r="P87" s="94">
        <f t="shared" si="3"/>
        <v>0</v>
      </c>
      <c r="Q87" s="94" t="str">
        <f t="shared" si="4"/>
        <v/>
      </c>
      <c r="R87" s="95">
        <f t="shared" si="5"/>
        <v>0.5</v>
      </c>
      <c r="S87" s="95" t="str">
        <f t="shared" si="6"/>
        <v/>
      </c>
      <c r="T87" s="95">
        <f t="shared" si="7"/>
        <v>1</v>
      </c>
    </row>
    <row r="88">
      <c r="A88" s="96">
        <v>83.0</v>
      </c>
      <c r="B88" s="97">
        <v>44704.0</v>
      </c>
      <c r="C88" s="96">
        <v>10406.0</v>
      </c>
      <c r="D88" s="98" t="s">
        <v>59</v>
      </c>
      <c r="E88" s="98" t="s">
        <v>159</v>
      </c>
      <c r="F88" s="99">
        <v>0.3229166666666667</v>
      </c>
      <c r="G88" s="99">
        <v>0.7597222222222222</v>
      </c>
      <c r="H88" s="101"/>
      <c r="I88" s="92" t="str">
        <f>IFERROR(VLOOKUP(D88,'Công T5'!$C$7:$F$89,4,0),"")</f>
        <v>ĐT</v>
      </c>
      <c r="J88" s="92">
        <f t="shared" si="8"/>
        <v>0.3229166667</v>
      </c>
      <c r="K88" s="92">
        <f t="shared" si="1"/>
        <v>0.7965277778</v>
      </c>
      <c r="L88" s="92" t="str">
        <f>IFERROR(VLOOKUP(D88,'Công T5'!$C$7:$F$89,2,0),"")</f>
        <v/>
      </c>
      <c r="M88" s="92" t="str">
        <f>IFERROR(VLOOKUP(D88,'Công T5'!$C$7:$F$89,3,0),"")</f>
        <v/>
      </c>
      <c r="N88" s="92">
        <f t="shared" si="9"/>
        <v>0.3333333333</v>
      </c>
      <c r="O88" s="92">
        <f t="shared" si="2"/>
        <v>0.7083333333</v>
      </c>
      <c r="P88" s="94">
        <f t="shared" si="3"/>
        <v>0.5</v>
      </c>
      <c r="Q88" s="94">
        <f t="shared" si="4"/>
        <v>0.5</v>
      </c>
      <c r="R88" s="95">
        <f t="shared" si="5"/>
        <v>1</v>
      </c>
      <c r="S88" s="95">
        <f t="shared" si="6"/>
        <v>0</v>
      </c>
      <c r="T88" s="95">
        <f t="shared" si="7"/>
        <v>0</v>
      </c>
    </row>
    <row r="89">
      <c r="A89" s="96">
        <v>84.0</v>
      </c>
      <c r="B89" s="97">
        <v>44704.0</v>
      </c>
      <c r="C89" s="96">
        <v>10406.0</v>
      </c>
      <c r="D89" s="98" t="s">
        <v>59</v>
      </c>
      <c r="E89" s="98" t="s">
        <v>159</v>
      </c>
      <c r="F89" s="99">
        <v>0.7965277777777777</v>
      </c>
      <c r="G89" s="102"/>
      <c r="H89" s="101"/>
      <c r="I89" s="92" t="str">
        <f>IFERROR(VLOOKUP(D89,'Công T5'!$C$7:$F$89,4,0),"")</f>
        <v>ĐT</v>
      </c>
      <c r="J89" s="92">
        <f t="shared" si="8"/>
        <v>0.7965277778</v>
      </c>
      <c r="K89" s="92" t="str">
        <f t="shared" si="1"/>
        <v/>
      </c>
      <c r="L89" s="92" t="str">
        <f>IFERROR(VLOOKUP(D89,'Công T5'!$C$7:$F$89,2,0),"")</f>
        <v/>
      </c>
      <c r="M89" s="92" t="str">
        <f>IFERROR(VLOOKUP(D89,'Công T5'!$C$7:$F$89,3,0),"")</f>
        <v/>
      </c>
      <c r="N89" s="92">
        <f t="shared" si="9"/>
        <v>0.7965277778</v>
      </c>
      <c r="O89" s="92" t="str">
        <f t="shared" si="2"/>
        <v/>
      </c>
      <c r="P89" s="94">
        <f t="shared" si="3"/>
        <v>0</v>
      </c>
      <c r="Q89" s="94" t="str">
        <f t="shared" si="4"/>
        <v/>
      </c>
      <c r="R89" s="95">
        <f t="shared" si="5"/>
        <v>0.5</v>
      </c>
      <c r="S89" s="95" t="str">
        <f t="shared" si="6"/>
        <v/>
      </c>
      <c r="T89" s="95">
        <f t="shared" si="7"/>
        <v>1</v>
      </c>
    </row>
    <row r="90">
      <c r="A90" s="96">
        <v>85.0</v>
      </c>
      <c r="B90" s="97">
        <v>44705.0</v>
      </c>
      <c r="C90" s="96">
        <v>10406.0</v>
      </c>
      <c r="D90" s="98" t="s">
        <v>59</v>
      </c>
      <c r="E90" s="98" t="s">
        <v>159</v>
      </c>
      <c r="F90" s="99">
        <v>0.22152777777777777</v>
      </c>
      <c r="G90" s="99">
        <v>0.32083333333333336</v>
      </c>
      <c r="H90" s="101"/>
      <c r="I90" s="92" t="str">
        <f>IFERROR(VLOOKUP(D90,'Công T5'!$C$7:$F$89,4,0),"")</f>
        <v>ĐT</v>
      </c>
      <c r="J90" s="92">
        <f t="shared" si="8"/>
        <v>0.2215277778</v>
      </c>
      <c r="K90" s="92">
        <f t="shared" si="1"/>
        <v>0.775</v>
      </c>
      <c r="L90" s="92" t="str">
        <f>IFERROR(VLOOKUP(D90,'Công T5'!$C$7:$F$89,2,0),"")</f>
        <v/>
      </c>
      <c r="M90" s="92" t="str">
        <f>IFERROR(VLOOKUP(D90,'Công T5'!$C$7:$F$89,3,0),"")</f>
        <v/>
      </c>
      <c r="N90" s="92">
        <f t="shared" si="9"/>
        <v>0.3333333333</v>
      </c>
      <c r="O90" s="92">
        <f t="shared" si="2"/>
        <v>0.7083333333</v>
      </c>
      <c r="P90" s="94">
        <f t="shared" si="3"/>
        <v>0.5</v>
      </c>
      <c r="Q90" s="94">
        <f t="shared" si="4"/>
        <v>0.5</v>
      </c>
      <c r="R90" s="95">
        <f t="shared" si="5"/>
        <v>1</v>
      </c>
      <c r="S90" s="95">
        <f t="shared" si="6"/>
        <v>0</v>
      </c>
      <c r="T90" s="95">
        <f t="shared" si="7"/>
        <v>0</v>
      </c>
    </row>
    <row r="91">
      <c r="A91" s="96">
        <v>86.0</v>
      </c>
      <c r="B91" s="97">
        <v>44705.0</v>
      </c>
      <c r="C91" s="96">
        <v>10406.0</v>
      </c>
      <c r="D91" s="98" t="s">
        <v>59</v>
      </c>
      <c r="E91" s="98" t="s">
        <v>159</v>
      </c>
      <c r="F91" s="99">
        <v>0.775</v>
      </c>
      <c r="G91" s="102"/>
      <c r="H91" s="101"/>
      <c r="I91" s="92" t="str">
        <f>IFERROR(VLOOKUP(D91,'Công T5'!$C$7:$F$89,4,0),"")</f>
        <v>ĐT</v>
      </c>
      <c r="J91" s="92">
        <f t="shared" si="8"/>
        <v>0.775</v>
      </c>
      <c r="K91" s="92" t="str">
        <f t="shared" si="1"/>
        <v/>
      </c>
      <c r="L91" s="92" t="str">
        <f>IFERROR(VLOOKUP(D91,'Công T5'!$C$7:$F$89,2,0),"")</f>
        <v/>
      </c>
      <c r="M91" s="92" t="str">
        <f>IFERROR(VLOOKUP(D91,'Công T5'!$C$7:$F$89,3,0),"")</f>
        <v/>
      </c>
      <c r="N91" s="92">
        <f t="shared" si="9"/>
        <v>0.775</v>
      </c>
      <c r="O91" s="92" t="str">
        <f t="shared" si="2"/>
        <v/>
      </c>
      <c r="P91" s="94">
        <f t="shared" si="3"/>
        <v>0</v>
      </c>
      <c r="Q91" s="94" t="str">
        <f t="shared" si="4"/>
        <v/>
      </c>
      <c r="R91" s="95">
        <f t="shared" si="5"/>
        <v>0.5</v>
      </c>
      <c r="S91" s="95" t="str">
        <f t="shared" si="6"/>
        <v/>
      </c>
      <c r="T91" s="95">
        <f t="shared" si="7"/>
        <v>1</v>
      </c>
    </row>
    <row r="92">
      <c r="A92" s="96">
        <v>87.0</v>
      </c>
      <c r="B92" s="97">
        <v>44706.0</v>
      </c>
      <c r="C92" s="96">
        <v>10406.0</v>
      </c>
      <c r="D92" s="98" t="s">
        <v>59</v>
      </c>
      <c r="E92" s="98" t="s">
        <v>159</v>
      </c>
      <c r="F92" s="99">
        <v>0.21875</v>
      </c>
      <c r="G92" s="99">
        <v>0.31180555555555556</v>
      </c>
      <c r="H92" s="101"/>
      <c r="I92" s="92" t="str">
        <f>IFERROR(VLOOKUP(D92,'Công T5'!$C$7:$F$89,4,0),"")</f>
        <v>ĐT</v>
      </c>
      <c r="J92" s="92">
        <f t="shared" si="8"/>
        <v>0.21875</v>
      </c>
      <c r="K92" s="92">
        <f t="shared" si="1"/>
        <v>0.7993055556</v>
      </c>
      <c r="L92" s="92" t="str">
        <f>IFERROR(VLOOKUP(D92,'Công T5'!$C$7:$F$89,2,0),"")</f>
        <v/>
      </c>
      <c r="M92" s="92" t="str">
        <f>IFERROR(VLOOKUP(D92,'Công T5'!$C$7:$F$89,3,0),"")</f>
        <v/>
      </c>
      <c r="N92" s="92">
        <f t="shared" si="9"/>
        <v>0.3333333333</v>
      </c>
      <c r="O92" s="92">
        <f t="shared" si="2"/>
        <v>0.7083333333</v>
      </c>
      <c r="P92" s="94">
        <f t="shared" si="3"/>
        <v>0.5</v>
      </c>
      <c r="Q92" s="94">
        <f t="shared" si="4"/>
        <v>0.5</v>
      </c>
      <c r="R92" s="95">
        <f t="shared" si="5"/>
        <v>1</v>
      </c>
      <c r="S92" s="95">
        <f t="shared" si="6"/>
        <v>0</v>
      </c>
      <c r="T92" s="95">
        <f t="shared" si="7"/>
        <v>0</v>
      </c>
    </row>
    <row r="93">
      <c r="A93" s="96">
        <v>88.0</v>
      </c>
      <c r="B93" s="97">
        <v>44706.0</v>
      </c>
      <c r="C93" s="96">
        <v>10406.0</v>
      </c>
      <c r="D93" s="98" t="s">
        <v>59</v>
      </c>
      <c r="E93" s="98" t="s">
        <v>159</v>
      </c>
      <c r="F93" s="99">
        <v>0.7993055555555556</v>
      </c>
      <c r="G93" s="102"/>
      <c r="H93" s="101"/>
      <c r="I93" s="92" t="str">
        <f>IFERROR(VLOOKUP(D93,'Công T5'!$C$7:$F$89,4,0),"")</f>
        <v>ĐT</v>
      </c>
      <c r="J93" s="92">
        <f t="shared" si="8"/>
        <v>0.7993055556</v>
      </c>
      <c r="K93" s="92" t="str">
        <f t="shared" si="1"/>
        <v/>
      </c>
      <c r="L93" s="92" t="str">
        <f>IFERROR(VLOOKUP(D93,'Công T5'!$C$7:$F$89,2,0),"")</f>
        <v/>
      </c>
      <c r="M93" s="92" t="str">
        <f>IFERROR(VLOOKUP(D93,'Công T5'!$C$7:$F$89,3,0),"")</f>
        <v/>
      </c>
      <c r="N93" s="92">
        <f t="shared" si="9"/>
        <v>0.7993055556</v>
      </c>
      <c r="O93" s="92" t="str">
        <f t="shared" si="2"/>
        <v/>
      </c>
      <c r="P93" s="94">
        <f t="shared" si="3"/>
        <v>0</v>
      </c>
      <c r="Q93" s="94" t="str">
        <f t="shared" si="4"/>
        <v/>
      </c>
      <c r="R93" s="95">
        <f t="shared" si="5"/>
        <v>0.5</v>
      </c>
      <c r="S93" s="95" t="str">
        <f t="shared" si="6"/>
        <v/>
      </c>
      <c r="T93" s="95">
        <f t="shared" si="7"/>
        <v>1</v>
      </c>
    </row>
    <row r="94">
      <c r="A94" s="96">
        <v>89.0</v>
      </c>
      <c r="B94" s="97">
        <v>44677.0</v>
      </c>
      <c r="C94" s="96">
        <v>10407.0</v>
      </c>
      <c r="D94" s="98" t="s">
        <v>61</v>
      </c>
      <c r="E94" s="98" t="s">
        <v>159</v>
      </c>
      <c r="F94" s="99">
        <v>0.3263888888888889</v>
      </c>
      <c r="G94" s="102"/>
      <c r="H94" s="101"/>
      <c r="I94" s="92" t="str">
        <f>IFERROR(VLOOKUP(D94,'Công T5'!$C$7:$F$89,4,0),"")</f>
        <v>ĐT</v>
      </c>
      <c r="J94" s="92">
        <f t="shared" si="8"/>
        <v>0.3263888889</v>
      </c>
      <c r="K94" s="92">
        <f t="shared" si="1"/>
        <v>0.7118055556</v>
      </c>
      <c r="L94" s="92" t="str">
        <f>IFERROR(VLOOKUP(D94,'Công T5'!$C$7:$F$89,2,0),"")</f>
        <v/>
      </c>
      <c r="M94" s="92" t="str">
        <f>IFERROR(VLOOKUP(D94,'Công T5'!$C$7:$F$89,3,0),"")</f>
        <v/>
      </c>
      <c r="N94" s="92">
        <f t="shared" si="9"/>
        <v>0.3333333333</v>
      </c>
      <c r="O94" s="92">
        <f t="shared" si="2"/>
        <v>0.7083333333</v>
      </c>
      <c r="P94" s="94">
        <f t="shared" si="3"/>
        <v>0.5</v>
      </c>
      <c r="Q94" s="94">
        <f t="shared" si="4"/>
        <v>0.5</v>
      </c>
      <c r="R94" s="95">
        <f t="shared" si="5"/>
        <v>1</v>
      </c>
      <c r="S94" s="95">
        <f t="shared" si="6"/>
        <v>0</v>
      </c>
      <c r="T94" s="95">
        <f t="shared" si="7"/>
        <v>0</v>
      </c>
    </row>
    <row r="95">
      <c r="A95" s="96">
        <v>90.0</v>
      </c>
      <c r="B95" s="97">
        <v>44677.0</v>
      </c>
      <c r="C95" s="96">
        <v>10407.0</v>
      </c>
      <c r="D95" s="98" t="s">
        <v>61</v>
      </c>
      <c r="E95" s="98" t="s">
        <v>159</v>
      </c>
      <c r="F95" s="99">
        <v>0.7118055555555556</v>
      </c>
      <c r="G95" s="102"/>
      <c r="H95" s="101"/>
      <c r="I95" s="92" t="str">
        <f>IFERROR(VLOOKUP(D95,'Công T5'!$C$7:$F$89,4,0),"")</f>
        <v>ĐT</v>
      </c>
      <c r="J95" s="92">
        <f t="shared" si="8"/>
        <v>0.7118055556</v>
      </c>
      <c r="K95" s="92" t="str">
        <f t="shared" si="1"/>
        <v/>
      </c>
      <c r="L95" s="92" t="str">
        <f>IFERROR(VLOOKUP(D95,'Công T5'!$C$7:$F$89,2,0),"")</f>
        <v/>
      </c>
      <c r="M95" s="92" t="str">
        <f>IFERROR(VLOOKUP(D95,'Công T5'!$C$7:$F$89,3,0),"")</f>
        <v/>
      </c>
      <c r="N95" s="92">
        <f t="shared" si="9"/>
        <v>0.7118055556</v>
      </c>
      <c r="O95" s="92" t="str">
        <f t="shared" si="2"/>
        <v/>
      </c>
      <c r="P95" s="94">
        <f t="shared" si="3"/>
        <v>0</v>
      </c>
      <c r="Q95" s="94" t="str">
        <f t="shared" si="4"/>
        <v/>
      </c>
      <c r="R95" s="95">
        <f t="shared" si="5"/>
        <v>0.5</v>
      </c>
      <c r="S95" s="95" t="str">
        <f t="shared" si="6"/>
        <v/>
      </c>
      <c r="T95" s="95">
        <f t="shared" si="7"/>
        <v>1</v>
      </c>
    </row>
    <row r="96">
      <c r="A96" s="96">
        <v>91.0</v>
      </c>
      <c r="B96" s="97">
        <v>44678.0</v>
      </c>
      <c r="C96" s="96">
        <v>10407.0</v>
      </c>
      <c r="D96" s="98" t="s">
        <v>61</v>
      </c>
      <c r="E96" s="98" t="s">
        <v>159</v>
      </c>
      <c r="F96" s="99">
        <v>0.3347222222222222</v>
      </c>
      <c r="G96" s="102"/>
      <c r="H96" s="101"/>
      <c r="I96" s="92" t="str">
        <f>IFERROR(VLOOKUP(D96,'Công T5'!$C$7:$F$89,4,0),"")</f>
        <v>ĐT</v>
      </c>
      <c r="J96" s="92">
        <f t="shared" si="8"/>
        <v>0.3347222222</v>
      </c>
      <c r="K96" s="92">
        <f t="shared" si="1"/>
        <v>0.7131944444</v>
      </c>
      <c r="L96" s="92" t="str">
        <f>IFERROR(VLOOKUP(D96,'Công T5'!$C$7:$F$89,2,0),"")</f>
        <v/>
      </c>
      <c r="M96" s="92" t="str">
        <f>IFERROR(VLOOKUP(D96,'Công T5'!$C$7:$F$89,3,0),"")</f>
        <v/>
      </c>
      <c r="N96" s="92">
        <f t="shared" si="9"/>
        <v>0.3333333333</v>
      </c>
      <c r="O96" s="92">
        <f t="shared" si="2"/>
        <v>0.7083333333</v>
      </c>
      <c r="P96" s="94">
        <f t="shared" si="3"/>
        <v>0.5</v>
      </c>
      <c r="Q96" s="94">
        <f t="shared" si="4"/>
        <v>0.5</v>
      </c>
      <c r="R96" s="95">
        <f t="shared" si="5"/>
        <v>1</v>
      </c>
      <c r="S96" s="95">
        <f t="shared" si="6"/>
        <v>1</v>
      </c>
      <c r="T96" s="95">
        <f t="shared" si="7"/>
        <v>0</v>
      </c>
    </row>
    <row r="97">
      <c r="A97" s="96">
        <v>92.0</v>
      </c>
      <c r="B97" s="97">
        <v>44678.0</v>
      </c>
      <c r="C97" s="96">
        <v>10407.0</v>
      </c>
      <c r="D97" s="98" t="s">
        <v>61</v>
      </c>
      <c r="E97" s="98" t="s">
        <v>159</v>
      </c>
      <c r="F97" s="99">
        <v>0.7131944444444445</v>
      </c>
      <c r="G97" s="102"/>
      <c r="H97" s="101"/>
      <c r="I97" s="92" t="str">
        <f>IFERROR(VLOOKUP(D97,'Công T5'!$C$7:$F$89,4,0),"")</f>
        <v>ĐT</v>
      </c>
      <c r="J97" s="92">
        <f t="shared" si="8"/>
        <v>0.7131944444</v>
      </c>
      <c r="K97" s="92" t="str">
        <f t="shared" si="1"/>
        <v/>
      </c>
      <c r="L97" s="92" t="str">
        <f>IFERROR(VLOOKUP(D97,'Công T5'!$C$7:$F$89,2,0),"")</f>
        <v/>
      </c>
      <c r="M97" s="92" t="str">
        <f>IFERROR(VLOOKUP(D97,'Công T5'!$C$7:$F$89,3,0),"")</f>
        <v/>
      </c>
      <c r="N97" s="92">
        <f t="shared" si="9"/>
        <v>0.7131944444</v>
      </c>
      <c r="O97" s="92" t="str">
        <f t="shared" si="2"/>
        <v/>
      </c>
      <c r="P97" s="94">
        <f t="shared" si="3"/>
        <v>0</v>
      </c>
      <c r="Q97" s="94" t="str">
        <f t="shared" si="4"/>
        <v/>
      </c>
      <c r="R97" s="95">
        <f t="shared" si="5"/>
        <v>0.5</v>
      </c>
      <c r="S97" s="95" t="str">
        <f t="shared" si="6"/>
        <v/>
      </c>
      <c r="T97" s="95">
        <f t="shared" si="7"/>
        <v>1</v>
      </c>
    </row>
    <row r="98">
      <c r="A98" s="96">
        <v>93.0</v>
      </c>
      <c r="B98" s="97">
        <v>44679.0</v>
      </c>
      <c r="C98" s="96">
        <v>10407.0</v>
      </c>
      <c r="D98" s="98" t="s">
        <v>61</v>
      </c>
      <c r="E98" s="98" t="s">
        <v>159</v>
      </c>
      <c r="F98" s="99">
        <v>0.3229166666666667</v>
      </c>
      <c r="G98" s="102"/>
      <c r="H98" s="101"/>
      <c r="I98" s="92" t="str">
        <f>IFERROR(VLOOKUP(D98,'Công T5'!$C$7:$F$89,4,0),"")</f>
        <v>ĐT</v>
      </c>
      <c r="J98" s="92">
        <f t="shared" si="8"/>
        <v>0.3229166667</v>
      </c>
      <c r="K98" s="92">
        <f t="shared" si="1"/>
        <v>0.7166666667</v>
      </c>
      <c r="L98" s="92" t="str">
        <f>IFERROR(VLOOKUP(D98,'Công T5'!$C$7:$F$89,2,0),"")</f>
        <v/>
      </c>
      <c r="M98" s="92" t="str">
        <f>IFERROR(VLOOKUP(D98,'Công T5'!$C$7:$F$89,3,0),"")</f>
        <v/>
      </c>
      <c r="N98" s="92">
        <f t="shared" si="9"/>
        <v>0.3333333333</v>
      </c>
      <c r="O98" s="92">
        <f t="shared" si="2"/>
        <v>0.7083333333</v>
      </c>
      <c r="P98" s="94">
        <f t="shared" si="3"/>
        <v>0.5</v>
      </c>
      <c r="Q98" s="94">
        <f t="shared" si="4"/>
        <v>0.5</v>
      </c>
      <c r="R98" s="95">
        <f t="shared" si="5"/>
        <v>1</v>
      </c>
      <c r="S98" s="95">
        <f t="shared" si="6"/>
        <v>0</v>
      </c>
      <c r="T98" s="95">
        <f t="shared" si="7"/>
        <v>0</v>
      </c>
    </row>
    <row r="99">
      <c r="A99" s="96">
        <v>94.0</v>
      </c>
      <c r="B99" s="97">
        <v>44679.0</v>
      </c>
      <c r="C99" s="96">
        <v>10407.0</v>
      </c>
      <c r="D99" s="98" t="s">
        <v>61</v>
      </c>
      <c r="E99" s="98" t="s">
        <v>159</v>
      </c>
      <c r="F99" s="99">
        <v>0.7166666666666667</v>
      </c>
      <c r="G99" s="102"/>
      <c r="H99" s="101"/>
      <c r="I99" s="92" t="str">
        <f>IFERROR(VLOOKUP(D99,'Công T5'!$C$7:$F$89,4,0),"")</f>
        <v>ĐT</v>
      </c>
      <c r="J99" s="92">
        <f t="shared" si="8"/>
        <v>0.7166666667</v>
      </c>
      <c r="K99" s="92" t="str">
        <f t="shared" si="1"/>
        <v/>
      </c>
      <c r="L99" s="92" t="str">
        <f>IFERROR(VLOOKUP(D99,'Công T5'!$C$7:$F$89,2,0),"")</f>
        <v/>
      </c>
      <c r="M99" s="92" t="str">
        <f>IFERROR(VLOOKUP(D99,'Công T5'!$C$7:$F$89,3,0),"")</f>
        <v/>
      </c>
      <c r="N99" s="92">
        <f t="shared" si="9"/>
        <v>0.7166666667</v>
      </c>
      <c r="O99" s="92" t="str">
        <f t="shared" si="2"/>
        <v/>
      </c>
      <c r="P99" s="94">
        <f t="shared" si="3"/>
        <v>0</v>
      </c>
      <c r="Q99" s="94" t="str">
        <f t="shared" si="4"/>
        <v/>
      </c>
      <c r="R99" s="95">
        <f t="shared" si="5"/>
        <v>0.5</v>
      </c>
      <c r="S99" s="95" t="str">
        <f t="shared" si="6"/>
        <v/>
      </c>
      <c r="T99" s="95">
        <f t="shared" si="7"/>
        <v>1</v>
      </c>
    </row>
    <row r="100">
      <c r="A100" s="96">
        <v>95.0</v>
      </c>
      <c r="B100" s="103">
        <v>44680.0</v>
      </c>
      <c r="C100" s="96">
        <v>10407.0</v>
      </c>
      <c r="D100" s="98" t="s">
        <v>61</v>
      </c>
      <c r="E100" s="98" t="s">
        <v>159</v>
      </c>
      <c r="F100" s="99">
        <v>0.32013888888888886</v>
      </c>
      <c r="G100" s="102"/>
      <c r="H100" s="101"/>
      <c r="I100" s="92" t="str">
        <f>IFERROR(VLOOKUP(D100,'Công T5'!$C$7:$F$89,4,0),"")</f>
        <v>ĐT</v>
      </c>
      <c r="J100" s="92">
        <f t="shared" si="8"/>
        <v>0.3201388889</v>
      </c>
      <c r="K100" s="92">
        <f t="shared" si="1"/>
        <v>0.7118055556</v>
      </c>
      <c r="L100" s="92" t="str">
        <f>IFERROR(VLOOKUP(D100,'Công T5'!$C$7:$F$89,2,0),"")</f>
        <v/>
      </c>
      <c r="M100" s="92" t="str">
        <f>IFERROR(VLOOKUP(D100,'Công T5'!$C$7:$F$89,3,0),"")</f>
        <v/>
      </c>
      <c r="N100" s="92">
        <f t="shared" si="9"/>
        <v>0.3333333333</v>
      </c>
      <c r="O100" s="92">
        <f t="shared" si="2"/>
        <v>0.7083333333</v>
      </c>
      <c r="P100" s="94">
        <f t="shared" si="3"/>
        <v>0.5</v>
      </c>
      <c r="Q100" s="94">
        <f t="shared" si="4"/>
        <v>0.5</v>
      </c>
      <c r="R100" s="95">
        <f t="shared" si="5"/>
        <v>1</v>
      </c>
      <c r="S100" s="95">
        <f t="shared" si="6"/>
        <v>0</v>
      </c>
      <c r="T100" s="95">
        <f t="shared" si="7"/>
        <v>0</v>
      </c>
    </row>
    <row r="101">
      <c r="A101" s="96">
        <v>96.0</v>
      </c>
      <c r="B101" s="97">
        <v>44680.0</v>
      </c>
      <c r="C101" s="96">
        <v>10407.0</v>
      </c>
      <c r="D101" s="98" t="s">
        <v>61</v>
      </c>
      <c r="E101" s="98" t="s">
        <v>159</v>
      </c>
      <c r="F101" s="99">
        <v>0.7118055555555556</v>
      </c>
      <c r="G101" s="102"/>
      <c r="H101" s="101"/>
      <c r="I101" s="92" t="str">
        <f>IFERROR(VLOOKUP(D101,'Công T5'!$C$7:$F$89,4,0),"")</f>
        <v>ĐT</v>
      </c>
      <c r="J101" s="92">
        <f t="shared" si="8"/>
        <v>0.7118055556</v>
      </c>
      <c r="K101" s="92" t="str">
        <f t="shared" si="1"/>
        <v/>
      </c>
      <c r="L101" s="92" t="str">
        <f>IFERROR(VLOOKUP(D101,'Công T5'!$C$7:$F$89,2,0),"")</f>
        <v/>
      </c>
      <c r="M101" s="92" t="str">
        <f>IFERROR(VLOOKUP(D101,'Công T5'!$C$7:$F$89,3,0),"")</f>
        <v/>
      </c>
      <c r="N101" s="92">
        <f t="shared" si="9"/>
        <v>0.7118055556</v>
      </c>
      <c r="O101" s="92" t="str">
        <f t="shared" si="2"/>
        <v/>
      </c>
      <c r="P101" s="94">
        <f t="shared" si="3"/>
        <v>0</v>
      </c>
      <c r="Q101" s="94" t="str">
        <f t="shared" si="4"/>
        <v/>
      </c>
      <c r="R101" s="95">
        <f t="shared" si="5"/>
        <v>0.5</v>
      </c>
      <c r="S101" s="95" t="str">
        <f t="shared" si="6"/>
        <v/>
      </c>
      <c r="T101" s="95">
        <f t="shared" si="7"/>
        <v>1</v>
      </c>
    </row>
    <row r="102">
      <c r="A102" s="96">
        <v>97.0</v>
      </c>
      <c r="B102" s="97">
        <v>44685.0</v>
      </c>
      <c r="C102" s="96">
        <v>10407.0</v>
      </c>
      <c r="D102" s="98" t="s">
        <v>61</v>
      </c>
      <c r="E102" s="98" t="s">
        <v>159</v>
      </c>
      <c r="F102" s="99">
        <v>0.3263888888888889</v>
      </c>
      <c r="G102" s="102"/>
      <c r="H102" s="101"/>
      <c r="I102" s="92" t="str">
        <f>IFERROR(VLOOKUP(D102,'Công T5'!$C$7:$F$89,4,0),"")</f>
        <v>ĐT</v>
      </c>
      <c r="J102" s="92">
        <f t="shared" si="8"/>
        <v>0.3263888889</v>
      </c>
      <c r="K102" s="92">
        <f t="shared" si="1"/>
        <v>0.71875</v>
      </c>
      <c r="L102" s="92" t="str">
        <f>IFERROR(VLOOKUP(D102,'Công T5'!$C$7:$F$89,2,0),"")</f>
        <v/>
      </c>
      <c r="M102" s="92" t="str">
        <f>IFERROR(VLOOKUP(D102,'Công T5'!$C$7:$F$89,3,0),"")</f>
        <v/>
      </c>
      <c r="N102" s="92">
        <f t="shared" si="9"/>
        <v>0.3333333333</v>
      </c>
      <c r="O102" s="92">
        <f t="shared" si="2"/>
        <v>0.7083333333</v>
      </c>
      <c r="P102" s="94">
        <f t="shared" si="3"/>
        <v>0.5</v>
      </c>
      <c r="Q102" s="94">
        <f t="shared" si="4"/>
        <v>0.5</v>
      </c>
      <c r="R102" s="95">
        <f t="shared" si="5"/>
        <v>1</v>
      </c>
      <c r="S102" s="95">
        <f t="shared" si="6"/>
        <v>0</v>
      </c>
      <c r="T102" s="95">
        <f t="shared" si="7"/>
        <v>0</v>
      </c>
    </row>
    <row r="103">
      <c r="A103" s="96">
        <v>98.0</v>
      </c>
      <c r="B103" s="97">
        <v>44685.0</v>
      </c>
      <c r="C103" s="96">
        <v>10407.0</v>
      </c>
      <c r="D103" s="98" t="s">
        <v>61</v>
      </c>
      <c r="E103" s="98" t="s">
        <v>159</v>
      </c>
      <c r="F103" s="99">
        <v>0.71875</v>
      </c>
      <c r="G103" s="102"/>
      <c r="H103" s="101"/>
      <c r="I103" s="92" t="str">
        <f>IFERROR(VLOOKUP(D103,'Công T5'!$C$7:$F$89,4,0),"")</f>
        <v>ĐT</v>
      </c>
      <c r="J103" s="92">
        <f t="shared" si="8"/>
        <v>0.71875</v>
      </c>
      <c r="K103" s="92" t="str">
        <f t="shared" si="1"/>
        <v/>
      </c>
      <c r="L103" s="92" t="str">
        <f>IFERROR(VLOOKUP(D103,'Công T5'!$C$7:$F$89,2,0),"")</f>
        <v/>
      </c>
      <c r="M103" s="92" t="str">
        <f>IFERROR(VLOOKUP(D103,'Công T5'!$C$7:$F$89,3,0),"")</f>
        <v/>
      </c>
      <c r="N103" s="92">
        <f t="shared" si="9"/>
        <v>0.71875</v>
      </c>
      <c r="O103" s="92" t="str">
        <f t="shared" si="2"/>
        <v/>
      </c>
      <c r="P103" s="94">
        <f t="shared" si="3"/>
        <v>0</v>
      </c>
      <c r="Q103" s="94" t="str">
        <f t="shared" si="4"/>
        <v/>
      </c>
      <c r="R103" s="95">
        <f t="shared" si="5"/>
        <v>0.5</v>
      </c>
      <c r="S103" s="95" t="str">
        <f t="shared" si="6"/>
        <v/>
      </c>
      <c r="T103" s="95">
        <f t="shared" si="7"/>
        <v>1</v>
      </c>
    </row>
    <row r="104">
      <c r="A104" s="96">
        <v>99.0</v>
      </c>
      <c r="B104" s="97">
        <v>44686.0</v>
      </c>
      <c r="C104" s="96">
        <v>10407.0</v>
      </c>
      <c r="D104" s="98" t="s">
        <v>61</v>
      </c>
      <c r="E104" s="98" t="s">
        <v>159</v>
      </c>
      <c r="F104" s="99">
        <v>0.32916666666666666</v>
      </c>
      <c r="G104" s="102"/>
      <c r="H104" s="101"/>
      <c r="I104" s="92" t="str">
        <f>IFERROR(VLOOKUP(D104,'Công T5'!$C$7:$F$89,4,0),"")</f>
        <v>ĐT</v>
      </c>
      <c r="J104" s="92">
        <f t="shared" si="8"/>
        <v>0.3291666667</v>
      </c>
      <c r="K104" s="92">
        <f t="shared" si="1"/>
        <v>0.7131944444</v>
      </c>
      <c r="L104" s="92" t="str">
        <f>IFERROR(VLOOKUP(D104,'Công T5'!$C$7:$F$89,2,0),"")</f>
        <v/>
      </c>
      <c r="M104" s="92" t="str">
        <f>IFERROR(VLOOKUP(D104,'Công T5'!$C$7:$F$89,3,0),"")</f>
        <v/>
      </c>
      <c r="N104" s="92">
        <f t="shared" si="9"/>
        <v>0.3333333333</v>
      </c>
      <c r="O104" s="92">
        <f t="shared" si="2"/>
        <v>0.7083333333</v>
      </c>
      <c r="P104" s="94">
        <f t="shared" si="3"/>
        <v>0.5</v>
      </c>
      <c r="Q104" s="94">
        <f t="shared" si="4"/>
        <v>0.5</v>
      </c>
      <c r="R104" s="95">
        <f t="shared" si="5"/>
        <v>1</v>
      </c>
      <c r="S104" s="95">
        <f t="shared" si="6"/>
        <v>0</v>
      </c>
      <c r="T104" s="95">
        <f t="shared" si="7"/>
        <v>0</v>
      </c>
    </row>
    <row r="105">
      <c r="A105" s="96">
        <v>100.0</v>
      </c>
      <c r="B105" s="97">
        <v>44686.0</v>
      </c>
      <c r="C105" s="96">
        <v>10407.0</v>
      </c>
      <c r="D105" s="98" t="s">
        <v>61</v>
      </c>
      <c r="E105" s="98" t="s">
        <v>159</v>
      </c>
      <c r="F105" s="99">
        <v>0.7131944444444445</v>
      </c>
      <c r="G105" s="102"/>
      <c r="H105" s="101"/>
      <c r="I105" s="92" t="str">
        <f>IFERROR(VLOOKUP(D105,'Công T5'!$C$7:$F$89,4,0),"")</f>
        <v>ĐT</v>
      </c>
      <c r="J105" s="92">
        <f t="shared" si="8"/>
        <v>0.7131944444</v>
      </c>
      <c r="K105" s="92" t="str">
        <f t="shared" si="1"/>
        <v/>
      </c>
      <c r="L105" s="92" t="str">
        <f>IFERROR(VLOOKUP(D105,'Công T5'!$C$7:$F$89,2,0),"")</f>
        <v/>
      </c>
      <c r="M105" s="92" t="str">
        <f>IFERROR(VLOOKUP(D105,'Công T5'!$C$7:$F$89,3,0),"")</f>
        <v/>
      </c>
      <c r="N105" s="92">
        <f t="shared" si="9"/>
        <v>0.7131944444</v>
      </c>
      <c r="O105" s="92" t="str">
        <f t="shared" si="2"/>
        <v/>
      </c>
      <c r="P105" s="94">
        <f t="shared" si="3"/>
        <v>0</v>
      </c>
      <c r="Q105" s="94" t="str">
        <f t="shared" si="4"/>
        <v/>
      </c>
      <c r="R105" s="95">
        <f t="shared" si="5"/>
        <v>0.5</v>
      </c>
      <c r="S105" s="95" t="str">
        <f t="shared" si="6"/>
        <v/>
      </c>
      <c r="T105" s="95">
        <f t="shared" si="7"/>
        <v>1</v>
      </c>
    </row>
    <row r="106">
      <c r="A106" s="96">
        <v>101.0</v>
      </c>
      <c r="B106" s="97">
        <v>44687.0</v>
      </c>
      <c r="C106" s="96">
        <v>10407.0</v>
      </c>
      <c r="D106" s="98" t="s">
        <v>61</v>
      </c>
      <c r="E106" s="98" t="s">
        <v>159</v>
      </c>
      <c r="F106" s="99">
        <v>0.32569444444444445</v>
      </c>
      <c r="G106" s="102"/>
      <c r="H106" s="101"/>
      <c r="I106" s="92" t="str">
        <f>IFERROR(VLOOKUP(D106,'Công T5'!$C$7:$F$89,4,0),"")</f>
        <v>ĐT</v>
      </c>
      <c r="J106" s="92">
        <f t="shared" si="8"/>
        <v>0.3256944444</v>
      </c>
      <c r="K106" s="92">
        <f t="shared" si="1"/>
        <v>0.7138888889</v>
      </c>
      <c r="L106" s="92" t="str">
        <f>IFERROR(VLOOKUP(D106,'Công T5'!$C$7:$F$89,2,0),"")</f>
        <v/>
      </c>
      <c r="M106" s="92" t="str">
        <f>IFERROR(VLOOKUP(D106,'Công T5'!$C$7:$F$89,3,0),"")</f>
        <v/>
      </c>
      <c r="N106" s="92">
        <f t="shared" si="9"/>
        <v>0.3333333333</v>
      </c>
      <c r="O106" s="92">
        <f t="shared" si="2"/>
        <v>0.7083333333</v>
      </c>
      <c r="P106" s="94">
        <f t="shared" si="3"/>
        <v>0.5</v>
      </c>
      <c r="Q106" s="94">
        <f t="shared" si="4"/>
        <v>0.5</v>
      </c>
      <c r="R106" s="95">
        <f t="shared" si="5"/>
        <v>1</v>
      </c>
      <c r="S106" s="95">
        <f t="shared" si="6"/>
        <v>0</v>
      </c>
      <c r="T106" s="95">
        <f t="shared" si="7"/>
        <v>0</v>
      </c>
    </row>
    <row r="107">
      <c r="A107" s="96">
        <v>102.0</v>
      </c>
      <c r="B107" s="97">
        <v>44687.0</v>
      </c>
      <c r="C107" s="96">
        <v>10407.0</v>
      </c>
      <c r="D107" s="98" t="s">
        <v>61</v>
      </c>
      <c r="E107" s="98" t="s">
        <v>159</v>
      </c>
      <c r="F107" s="99">
        <v>0.7138888888888889</v>
      </c>
      <c r="G107" s="102"/>
      <c r="H107" s="101"/>
      <c r="I107" s="92" t="str">
        <f>IFERROR(VLOOKUP(D107,'Công T5'!$C$7:$F$89,4,0),"")</f>
        <v>ĐT</v>
      </c>
      <c r="J107" s="92">
        <f t="shared" si="8"/>
        <v>0.7138888889</v>
      </c>
      <c r="K107" s="92" t="str">
        <f t="shared" si="1"/>
        <v/>
      </c>
      <c r="L107" s="92" t="str">
        <f>IFERROR(VLOOKUP(D107,'Công T5'!$C$7:$F$89,2,0),"")</f>
        <v/>
      </c>
      <c r="M107" s="92" t="str">
        <f>IFERROR(VLOOKUP(D107,'Công T5'!$C$7:$F$89,3,0),"")</f>
        <v/>
      </c>
      <c r="N107" s="92">
        <f t="shared" si="9"/>
        <v>0.7138888889</v>
      </c>
      <c r="O107" s="92" t="str">
        <f t="shared" si="2"/>
        <v/>
      </c>
      <c r="P107" s="94">
        <f t="shared" si="3"/>
        <v>0</v>
      </c>
      <c r="Q107" s="94" t="str">
        <f t="shared" si="4"/>
        <v/>
      </c>
      <c r="R107" s="95">
        <f t="shared" si="5"/>
        <v>0.5</v>
      </c>
      <c r="S107" s="95" t="str">
        <f t="shared" si="6"/>
        <v/>
      </c>
      <c r="T107" s="95">
        <f t="shared" si="7"/>
        <v>1</v>
      </c>
    </row>
    <row r="108">
      <c r="A108" s="96">
        <v>103.0</v>
      </c>
      <c r="B108" s="97">
        <v>44688.0</v>
      </c>
      <c r="C108" s="96">
        <v>10407.0</v>
      </c>
      <c r="D108" s="98" t="s">
        <v>61</v>
      </c>
      <c r="E108" s="98" t="s">
        <v>159</v>
      </c>
      <c r="F108" s="99">
        <v>0.3173611111111111</v>
      </c>
      <c r="G108" s="102"/>
      <c r="H108" s="101"/>
      <c r="I108" s="92" t="str">
        <f>IFERROR(VLOOKUP(D108,'Công T5'!$C$7:$F$89,4,0),"")</f>
        <v>ĐT</v>
      </c>
      <c r="J108" s="92">
        <f t="shared" si="8"/>
        <v>0.3173611111</v>
      </c>
      <c r="K108" s="92">
        <f t="shared" si="1"/>
        <v>0.7111111111</v>
      </c>
      <c r="L108" s="92" t="str">
        <f>IFERROR(VLOOKUP(D108,'Công T5'!$C$7:$F$89,2,0),"")</f>
        <v/>
      </c>
      <c r="M108" s="92" t="str">
        <f>IFERROR(VLOOKUP(D108,'Công T5'!$C$7:$F$89,3,0),"")</f>
        <v/>
      </c>
      <c r="N108" s="92">
        <f t="shared" si="9"/>
        <v>0.3333333333</v>
      </c>
      <c r="O108" s="92">
        <f t="shared" si="2"/>
        <v>0.7083333333</v>
      </c>
      <c r="P108" s="94">
        <f t="shared" si="3"/>
        <v>0.5</v>
      </c>
      <c r="Q108" s="94">
        <f t="shared" si="4"/>
        <v>0.5</v>
      </c>
      <c r="R108" s="95">
        <f t="shared" si="5"/>
        <v>1</v>
      </c>
      <c r="S108" s="95">
        <f t="shared" si="6"/>
        <v>0</v>
      </c>
      <c r="T108" s="95">
        <f t="shared" si="7"/>
        <v>0</v>
      </c>
    </row>
    <row r="109">
      <c r="A109" s="96">
        <v>104.0</v>
      </c>
      <c r="B109" s="97">
        <v>44688.0</v>
      </c>
      <c r="C109" s="96">
        <v>10407.0</v>
      </c>
      <c r="D109" s="98" t="s">
        <v>61</v>
      </c>
      <c r="E109" s="98" t="s">
        <v>159</v>
      </c>
      <c r="F109" s="99">
        <v>0.7111111111111111</v>
      </c>
      <c r="G109" s="102"/>
      <c r="H109" s="101"/>
      <c r="I109" s="92" t="str">
        <f>IFERROR(VLOOKUP(D109,'Công T5'!$C$7:$F$89,4,0),"")</f>
        <v>ĐT</v>
      </c>
      <c r="J109" s="92">
        <f t="shared" si="8"/>
        <v>0.7111111111</v>
      </c>
      <c r="K109" s="92" t="str">
        <f t="shared" si="1"/>
        <v/>
      </c>
      <c r="L109" s="92" t="str">
        <f>IFERROR(VLOOKUP(D109,'Công T5'!$C$7:$F$89,2,0),"")</f>
        <v/>
      </c>
      <c r="M109" s="92" t="str">
        <f>IFERROR(VLOOKUP(D109,'Công T5'!$C$7:$F$89,3,0),"")</f>
        <v/>
      </c>
      <c r="N109" s="92">
        <f t="shared" si="9"/>
        <v>0.7111111111</v>
      </c>
      <c r="O109" s="92" t="str">
        <f t="shared" si="2"/>
        <v/>
      </c>
      <c r="P109" s="94">
        <f t="shared" si="3"/>
        <v>0</v>
      </c>
      <c r="Q109" s="94" t="str">
        <f t="shared" si="4"/>
        <v/>
      </c>
      <c r="R109" s="95">
        <f t="shared" si="5"/>
        <v>0.5</v>
      </c>
      <c r="S109" s="95" t="str">
        <f t="shared" si="6"/>
        <v/>
      </c>
      <c r="T109" s="95">
        <f t="shared" si="7"/>
        <v>1</v>
      </c>
    </row>
    <row r="110">
      <c r="A110" s="96">
        <v>105.0</v>
      </c>
      <c r="B110" s="97">
        <v>44690.0</v>
      </c>
      <c r="C110" s="96">
        <v>10407.0</v>
      </c>
      <c r="D110" s="98" t="s">
        <v>61</v>
      </c>
      <c r="E110" s="98" t="s">
        <v>159</v>
      </c>
      <c r="F110" s="99">
        <v>0.3263888888888889</v>
      </c>
      <c r="G110" s="102"/>
      <c r="H110" s="101"/>
      <c r="I110" s="92" t="str">
        <f>IFERROR(VLOOKUP(D110,'Công T5'!$C$7:$F$89,4,0),"")</f>
        <v>ĐT</v>
      </c>
      <c r="J110" s="92">
        <f t="shared" si="8"/>
        <v>0.3263888889</v>
      </c>
      <c r="K110" s="92">
        <f t="shared" si="1"/>
        <v>0.7125</v>
      </c>
      <c r="L110" s="92" t="str">
        <f>IFERROR(VLOOKUP(D110,'Công T5'!$C$7:$F$89,2,0),"")</f>
        <v/>
      </c>
      <c r="M110" s="92" t="str">
        <f>IFERROR(VLOOKUP(D110,'Công T5'!$C$7:$F$89,3,0),"")</f>
        <v/>
      </c>
      <c r="N110" s="92">
        <f t="shared" si="9"/>
        <v>0.3333333333</v>
      </c>
      <c r="O110" s="92">
        <f t="shared" si="2"/>
        <v>0.7083333333</v>
      </c>
      <c r="P110" s="94">
        <f t="shared" si="3"/>
        <v>0.5</v>
      </c>
      <c r="Q110" s="94">
        <f t="shared" si="4"/>
        <v>0.5</v>
      </c>
      <c r="R110" s="95">
        <f t="shared" si="5"/>
        <v>1</v>
      </c>
      <c r="S110" s="95">
        <f t="shared" si="6"/>
        <v>0</v>
      </c>
      <c r="T110" s="95">
        <f t="shared" si="7"/>
        <v>0</v>
      </c>
    </row>
    <row r="111">
      <c r="A111" s="96">
        <v>106.0</v>
      </c>
      <c r="B111" s="97">
        <v>44690.0</v>
      </c>
      <c r="C111" s="96">
        <v>10407.0</v>
      </c>
      <c r="D111" s="98" t="s">
        <v>61</v>
      </c>
      <c r="E111" s="98" t="s">
        <v>159</v>
      </c>
      <c r="F111" s="99">
        <v>0.7125</v>
      </c>
      <c r="G111" s="102"/>
      <c r="H111" s="101"/>
      <c r="I111" s="92" t="str">
        <f>IFERROR(VLOOKUP(D111,'Công T5'!$C$7:$F$89,4,0),"")</f>
        <v>ĐT</v>
      </c>
      <c r="J111" s="92">
        <f t="shared" si="8"/>
        <v>0.7125</v>
      </c>
      <c r="K111" s="92" t="str">
        <f t="shared" si="1"/>
        <v/>
      </c>
      <c r="L111" s="92" t="str">
        <f>IFERROR(VLOOKUP(D111,'Công T5'!$C$7:$F$89,2,0),"")</f>
        <v/>
      </c>
      <c r="M111" s="92" t="str">
        <f>IFERROR(VLOOKUP(D111,'Công T5'!$C$7:$F$89,3,0),"")</f>
        <v/>
      </c>
      <c r="N111" s="92">
        <f t="shared" si="9"/>
        <v>0.7125</v>
      </c>
      <c r="O111" s="92" t="str">
        <f t="shared" si="2"/>
        <v/>
      </c>
      <c r="P111" s="94">
        <f t="shared" si="3"/>
        <v>0</v>
      </c>
      <c r="Q111" s="94" t="str">
        <f t="shared" si="4"/>
        <v/>
      </c>
      <c r="R111" s="95">
        <f t="shared" si="5"/>
        <v>0.5</v>
      </c>
      <c r="S111" s="95" t="str">
        <f t="shared" si="6"/>
        <v/>
      </c>
      <c r="T111" s="95">
        <f t="shared" si="7"/>
        <v>1</v>
      </c>
    </row>
    <row r="112">
      <c r="A112" s="96">
        <v>107.0</v>
      </c>
      <c r="B112" s="103">
        <v>44691.0</v>
      </c>
      <c r="C112" s="96">
        <v>10407.0</v>
      </c>
      <c r="D112" s="98" t="s">
        <v>61</v>
      </c>
      <c r="E112" s="98" t="s">
        <v>159</v>
      </c>
      <c r="F112" s="99">
        <v>0.325</v>
      </c>
      <c r="G112" s="102"/>
      <c r="H112" s="101"/>
      <c r="I112" s="92" t="str">
        <f>IFERROR(VLOOKUP(D112,'Công T5'!$C$7:$F$89,4,0),"")</f>
        <v>ĐT</v>
      </c>
      <c r="J112" s="92">
        <f t="shared" si="8"/>
        <v>0.325</v>
      </c>
      <c r="K112" s="92">
        <f t="shared" si="1"/>
        <v>0.7215277778</v>
      </c>
      <c r="L112" s="92" t="str">
        <f>IFERROR(VLOOKUP(D112,'Công T5'!$C$7:$F$89,2,0),"")</f>
        <v/>
      </c>
      <c r="M112" s="92" t="str">
        <f>IFERROR(VLOOKUP(D112,'Công T5'!$C$7:$F$89,3,0),"")</f>
        <v/>
      </c>
      <c r="N112" s="92">
        <f t="shared" si="9"/>
        <v>0.3333333333</v>
      </c>
      <c r="O112" s="92">
        <f t="shared" si="2"/>
        <v>0.7083333333</v>
      </c>
      <c r="P112" s="94">
        <f t="shared" si="3"/>
        <v>0.5</v>
      </c>
      <c r="Q112" s="94">
        <f t="shared" si="4"/>
        <v>0.5</v>
      </c>
      <c r="R112" s="95">
        <f t="shared" si="5"/>
        <v>1</v>
      </c>
      <c r="S112" s="95">
        <f t="shared" si="6"/>
        <v>0</v>
      </c>
      <c r="T112" s="95">
        <f t="shared" si="7"/>
        <v>0</v>
      </c>
    </row>
    <row r="113">
      <c r="A113" s="96">
        <v>108.0</v>
      </c>
      <c r="B113" s="97">
        <v>44691.0</v>
      </c>
      <c r="C113" s="96">
        <v>10407.0</v>
      </c>
      <c r="D113" s="98" t="s">
        <v>61</v>
      </c>
      <c r="E113" s="98" t="s">
        <v>159</v>
      </c>
      <c r="F113" s="99">
        <v>0.7215277777777778</v>
      </c>
      <c r="G113" s="102"/>
      <c r="H113" s="101"/>
      <c r="I113" s="92" t="str">
        <f>IFERROR(VLOOKUP(D113,'Công T5'!$C$7:$F$89,4,0),"")</f>
        <v>ĐT</v>
      </c>
      <c r="J113" s="92">
        <f t="shared" si="8"/>
        <v>0.7215277778</v>
      </c>
      <c r="K113" s="92" t="str">
        <f t="shared" si="1"/>
        <v/>
      </c>
      <c r="L113" s="92" t="str">
        <f>IFERROR(VLOOKUP(D113,'Công T5'!$C$7:$F$89,2,0),"")</f>
        <v/>
      </c>
      <c r="M113" s="92" t="str">
        <f>IFERROR(VLOOKUP(D113,'Công T5'!$C$7:$F$89,3,0),"")</f>
        <v/>
      </c>
      <c r="N113" s="92">
        <f t="shared" si="9"/>
        <v>0.7215277778</v>
      </c>
      <c r="O113" s="92" t="str">
        <f t="shared" si="2"/>
        <v/>
      </c>
      <c r="P113" s="94">
        <f t="shared" si="3"/>
        <v>0</v>
      </c>
      <c r="Q113" s="94" t="str">
        <f t="shared" si="4"/>
        <v/>
      </c>
      <c r="R113" s="95">
        <f t="shared" si="5"/>
        <v>0.5</v>
      </c>
      <c r="S113" s="95" t="str">
        <f t="shared" si="6"/>
        <v/>
      </c>
      <c r="T113" s="95">
        <f t="shared" si="7"/>
        <v>1</v>
      </c>
    </row>
    <row r="114">
      <c r="A114" s="96">
        <v>109.0</v>
      </c>
      <c r="B114" s="103">
        <v>44692.0</v>
      </c>
      <c r="C114" s="96">
        <v>10407.0</v>
      </c>
      <c r="D114" s="98" t="s">
        <v>61</v>
      </c>
      <c r="E114" s="98" t="s">
        <v>159</v>
      </c>
      <c r="F114" s="99">
        <v>0.7152777777777778</v>
      </c>
      <c r="G114" s="102"/>
      <c r="H114" s="101"/>
      <c r="I114" s="92" t="str">
        <f>IFERROR(VLOOKUP(D114,'Công T5'!$C$7:$F$89,4,0),"")</f>
        <v>ĐT</v>
      </c>
      <c r="J114" s="92">
        <f t="shared" si="8"/>
        <v>0.7152777778</v>
      </c>
      <c r="K114" s="92" t="str">
        <f t="shared" si="1"/>
        <v/>
      </c>
      <c r="L114" s="92" t="str">
        <f>IFERROR(VLOOKUP(D114,'Công T5'!$C$7:$F$89,2,0),"")</f>
        <v/>
      </c>
      <c r="M114" s="92" t="str">
        <f>IFERROR(VLOOKUP(D114,'Công T5'!$C$7:$F$89,3,0),"")</f>
        <v/>
      </c>
      <c r="N114" s="92">
        <f t="shared" si="9"/>
        <v>0.7152777778</v>
      </c>
      <c r="O114" s="92" t="str">
        <f t="shared" si="2"/>
        <v/>
      </c>
      <c r="P114" s="94">
        <f t="shared" si="3"/>
        <v>0</v>
      </c>
      <c r="Q114" s="94" t="str">
        <f t="shared" si="4"/>
        <v/>
      </c>
      <c r="R114" s="95">
        <f t="shared" si="5"/>
        <v>0.5</v>
      </c>
      <c r="S114" s="95" t="str">
        <f t="shared" si="6"/>
        <v/>
      </c>
      <c r="T114" s="95">
        <f t="shared" si="7"/>
        <v>1</v>
      </c>
    </row>
    <row r="115">
      <c r="A115" s="96">
        <v>110.0</v>
      </c>
      <c r="B115" s="97">
        <v>44693.0</v>
      </c>
      <c r="C115" s="96">
        <v>10407.0</v>
      </c>
      <c r="D115" s="98" t="s">
        <v>61</v>
      </c>
      <c r="E115" s="98" t="s">
        <v>159</v>
      </c>
      <c r="F115" s="99">
        <v>0.3263888888888889</v>
      </c>
      <c r="G115" s="102"/>
      <c r="H115" s="101"/>
      <c r="I115" s="92" t="str">
        <f>IFERROR(VLOOKUP(D115,'Công T5'!$C$7:$F$89,4,0),"")</f>
        <v>ĐT</v>
      </c>
      <c r="J115" s="92">
        <f t="shared" si="8"/>
        <v>0.3263888889</v>
      </c>
      <c r="K115" s="92">
        <f t="shared" si="1"/>
        <v>0.7125</v>
      </c>
      <c r="L115" s="92" t="str">
        <f>IFERROR(VLOOKUP(D115,'Công T5'!$C$7:$F$89,2,0),"")</f>
        <v/>
      </c>
      <c r="M115" s="92" t="str">
        <f>IFERROR(VLOOKUP(D115,'Công T5'!$C$7:$F$89,3,0),"")</f>
        <v/>
      </c>
      <c r="N115" s="92">
        <f t="shared" si="9"/>
        <v>0.3333333333</v>
      </c>
      <c r="O115" s="92">
        <f t="shared" si="2"/>
        <v>0.7083333333</v>
      </c>
      <c r="P115" s="94">
        <f t="shared" si="3"/>
        <v>0.5</v>
      </c>
      <c r="Q115" s="94">
        <f t="shared" si="4"/>
        <v>0.5</v>
      </c>
      <c r="R115" s="95">
        <f t="shared" si="5"/>
        <v>1</v>
      </c>
      <c r="S115" s="95">
        <f t="shared" si="6"/>
        <v>0</v>
      </c>
      <c r="T115" s="95">
        <f t="shared" si="7"/>
        <v>0</v>
      </c>
    </row>
    <row r="116">
      <c r="A116" s="96">
        <v>111.0</v>
      </c>
      <c r="B116" s="97">
        <v>44693.0</v>
      </c>
      <c r="C116" s="96">
        <v>10407.0</v>
      </c>
      <c r="D116" s="98" t="s">
        <v>61</v>
      </c>
      <c r="E116" s="98" t="s">
        <v>159</v>
      </c>
      <c r="F116" s="99">
        <v>0.7125</v>
      </c>
      <c r="G116" s="102"/>
      <c r="H116" s="101"/>
      <c r="I116" s="92" t="str">
        <f>IFERROR(VLOOKUP(D116,'Công T5'!$C$7:$F$89,4,0),"")</f>
        <v>ĐT</v>
      </c>
      <c r="J116" s="92">
        <f t="shared" si="8"/>
        <v>0.7125</v>
      </c>
      <c r="K116" s="92" t="str">
        <f t="shared" si="1"/>
        <v/>
      </c>
      <c r="L116" s="92" t="str">
        <f>IFERROR(VLOOKUP(D116,'Công T5'!$C$7:$F$89,2,0),"")</f>
        <v/>
      </c>
      <c r="M116" s="92" t="str">
        <f>IFERROR(VLOOKUP(D116,'Công T5'!$C$7:$F$89,3,0),"")</f>
        <v/>
      </c>
      <c r="N116" s="92">
        <f t="shared" si="9"/>
        <v>0.7125</v>
      </c>
      <c r="O116" s="92" t="str">
        <f t="shared" si="2"/>
        <v/>
      </c>
      <c r="P116" s="94">
        <f t="shared" si="3"/>
        <v>0</v>
      </c>
      <c r="Q116" s="94" t="str">
        <f t="shared" si="4"/>
        <v/>
      </c>
      <c r="R116" s="95">
        <f t="shared" si="5"/>
        <v>0.5</v>
      </c>
      <c r="S116" s="95" t="str">
        <f t="shared" si="6"/>
        <v/>
      </c>
      <c r="T116" s="95">
        <f t="shared" si="7"/>
        <v>1</v>
      </c>
    </row>
    <row r="117">
      <c r="A117" s="96">
        <v>112.0</v>
      </c>
      <c r="B117" s="97">
        <v>44694.0</v>
      </c>
      <c r="C117" s="96">
        <v>10407.0</v>
      </c>
      <c r="D117" s="98" t="s">
        <v>61</v>
      </c>
      <c r="E117" s="98" t="s">
        <v>159</v>
      </c>
      <c r="F117" s="99">
        <v>0.32569444444444445</v>
      </c>
      <c r="G117" s="102"/>
      <c r="H117" s="101"/>
      <c r="I117" s="92" t="str">
        <f>IFERROR(VLOOKUP(D117,'Công T5'!$C$7:$F$89,4,0),"")</f>
        <v>ĐT</v>
      </c>
      <c r="J117" s="92">
        <f t="shared" si="8"/>
        <v>0.3256944444</v>
      </c>
      <c r="K117" s="92">
        <f t="shared" si="1"/>
        <v>0.7118055556</v>
      </c>
      <c r="L117" s="92" t="str">
        <f>IFERROR(VLOOKUP(D117,'Công T5'!$C$7:$F$89,2,0),"")</f>
        <v/>
      </c>
      <c r="M117" s="92" t="str">
        <f>IFERROR(VLOOKUP(D117,'Công T5'!$C$7:$F$89,3,0),"")</f>
        <v/>
      </c>
      <c r="N117" s="92">
        <f t="shared" si="9"/>
        <v>0.3333333333</v>
      </c>
      <c r="O117" s="92">
        <f t="shared" si="2"/>
        <v>0.7083333333</v>
      </c>
      <c r="P117" s="94">
        <f t="shared" si="3"/>
        <v>0.5</v>
      </c>
      <c r="Q117" s="94">
        <f t="shared" si="4"/>
        <v>0.5</v>
      </c>
      <c r="R117" s="95">
        <f t="shared" si="5"/>
        <v>1</v>
      </c>
      <c r="S117" s="95">
        <f t="shared" si="6"/>
        <v>0</v>
      </c>
      <c r="T117" s="95">
        <f t="shared" si="7"/>
        <v>0</v>
      </c>
    </row>
    <row r="118">
      <c r="A118" s="96">
        <v>113.0</v>
      </c>
      <c r="B118" s="103">
        <v>44694.0</v>
      </c>
      <c r="C118" s="96">
        <v>10407.0</v>
      </c>
      <c r="D118" s="98" t="s">
        <v>61</v>
      </c>
      <c r="E118" s="98" t="s">
        <v>159</v>
      </c>
      <c r="F118" s="99">
        <v>0.7118055555555556</v>
      </c>
      <c r="G118" s="102"/>
      <c r="H118" s="101"/>
      <c r="I118" s="92" t="str">
        <f>IFERROR(VLOOKUP(D118,'Công T5'!$C$7:$F$89,4,0),"")</f>
        <v>ĐT</v>
      </c>
      <c r="J118" s="92">
        <f t="shared" si="8"/>
        <v>0.7118055556</v>
      </c>
      <c r="K118" s="92" t="str">
        <f t="shared" si="1"/>
        <v/>
      </c>
      <c r="L118" s="92" t="str">
        <f>IFERROR(VLOOKUP(D118,'Công T5'!$C$7:$F$89,2,0),"")</f>
        <v/>
      </c>
      <c r="M118" s="92" t="str">
        <f>IFERROR(VLOOKUP(D118,'Công T5'!$C$7:$F$89,3,0),"")</f>
        <v/>
      </c>
      <c r="N118" s="92">
        <f t="shared" si="9"/>
        <v>0.7118055556</v>
      </c>
      <c r="O118" s="92" t="str">
        <f t="shared" si="2"/>
        <v/>
      </c>
      <c r="P118" s="94">
        <f t="shared" si="3"/>
        <v>0</v>
      </c>
      <c r="Q118" s="94" t="str">
        <f t="shared" si="4"/>
        <v/>
      </c>
      <c r="R118" s="95">
        <f t="shared" si="5"/>
        <v>0.5</v>
      </c>
      <c r="S118" s="95" t="str">
        <f t="shared" si="6"/>
        <v/>
      </c>
      <c r="T118" s="95">
        <f t="shared" si="7"/>
        <v>1</v>
      </c>
    </row>
    <row r="119">
      <c r="A119" s="96">
        <v>114.0</v>
      </c>
      <c r="B119" s="97">
        <v>44697.0</v>
      </c>
      <c r="C119" s="96">
        <v>10407.0</v>
      </c>
      <c r="D119" s="98" t="s">
        <v>61</v>
      </c>
      <c r="E119" s="98" t="s">
        <v>159</v>
      </c>
      <c r="F119" s="99">
        <v>0.3298611111111111</v>
      </c>
      <c r="G119" s="102"/>
      <c r="H119" s="101"/>
      <c r="I119" s="92" t="str">
        <f>IFERROR(VLOOKUP(D119,'Công T5'!$C$7:$F$89,4,0),"")</f>
        <v>ĐT</v>
      </c>
      <c r="J119" s="92">
        <f t="shared" si="8"/>
        <v>0.3298611111</v>
      </c>
      <c r="K119" s="92">
        <f t="shared" si="1"/>
        <v>0.7152777778</v>
      </c>
      <c r="L119" s="92" t="str">
        <f>IFERROR(VLOOKUP(D119,'Công T5'!$C$7:$F$89,2,0),"")</f>
        <v/>
      </c>
      <c r="M119" s="92" t="str">
        <f>IFERROR(VLOOKUP(D119,'Công T5'!$C$7:$F$89,3,0),"")</f>
        <v/>
      </c>
      <c r="N119" s="92">
        <f t="shared" si="9"/>
        <v>0.3333333333</v>
      </c>
      <c r="O119" s="92">
        <f t="shared" si="2"/>
        <v>0.7083333333</v>
      </c>
      <c r="P119" s="94">
        <f t="shared" si="3"/>
        <v>0.5</v>
      </c>
      <c r="Q119" s="94">
        <f t="shared" si="4"/>
        <v>0.5</v>
      </c>
      <c r="R119" s="95">
        <f t="shared" si="5"/>
        <v>1</v>
      </c>
      <c r="S119" s="95">
        <f t="shared" si="6"/>
        <v>0</v>
      </c>
      <c r="T119" s="95">
        <f t="shared" si="7"/>
        <v>0</v>
      </c>
    </row>
    <row r="120">
      <c r="A120" s="96">
        <v>115.0</v>
      </c>
      <c r="B120" s="97">
        <v>44697.0</v>
      </c>
      <c r="C120" s="96">
        <v>10407.0</v>
      </c>
      <c r="D120" s="98" t="s">
        <v>61</v>
      </c>
      <c r="E120" s="98" t="s">
        <v>159</v>
      </c>
      <c r="F120" s="99">
        <v>0.7152777777777778</v>
      </c>
      <c r="G120" s="102"/>
      <c r="H120" s="101"/>
      <c r="I120" s="92" t="str">
        <f>IFERROR(VLOOKUP(D120,'Công T5'!$C$7:$F$89,4,0),"")</f>
        <v>ĐT</v>
      </c>
      <c r="J120" s="92">
        <f t="shared" si="8"/>
        <v>0.7152777778</v>
      </c>
      <c r="K120" s="92" t="str">
        <f t="shared" si="1"/>
        <v/>
      </c>
      <c r="L120" s="92" t="str">
        <f>IFERROR(VLOOKUP(D120,'Công T5'!$C$7:$F$89,2,0),"")</f>
        <v/>
      </c>
      <c r="M120" s="92" t="str">
        <f>IFERROR(VLOOKUP(D120,'Công T5'!$C$7:$F$89,3,0),"")</f>
        <v/>
      </c>
      <c r="N120" s="92">
        <f t="shared" si="9"/>
        <v>0.7152777778</v>
      </c>
      <c r="O120" s="92" t="str">
        <f t="shared" si="2"/>
        <v/>
      </c>
      <c r="P120" s="94">
        <f t="shared" si="3"/>
        <v>0</v>
      </c>
      <c r="Q120" s="94" t="str">
        <f t="shared" si="4"/>
        <v/>
      </c>
      <c r="R120" s="95">
        <f t="shared" si="5"/>
        <v>0.5</v>
      </c>
      <c r="S120" s="95" t="str">
        <f t="shared" si="6"/>
        <v/>
      </c>
      <c r="T120" s="95">
        <f t="shared" si="7"/>
        <v>1</v>
      </c>
    </row>
    <row r="121">
      <c r="A121" s="96">
        <v>116.0</v>
      </c>
      <c r="B121" s="97">
        <v>44698.0</v>
      </c>
      <c r="C121" s="96">
        <v>10407.0</v>
      </c>
      <c r="D121" s="98" t="s">
        <v>61</v>
      </c>
      <c r="E121" s="98" t="s">
        <v>159</v>
      </c>
      <c r="F121" s="99">
        <v>0.3277777777777778</v>
      </c>
      <c r="G121" s="102"/>
      <c r="H121" s="101"/>
      <c r="I121" s="92" t="str">
        <f>IFERROR(VLOOKUP(D121,'Công T5'!$C$7:$F$89,4,0),"")</f>
        <v>ĐT</v>
      </c>
      <c r="J121" s="92">
        <f t="shared" si="8"/>
        <v>0.3277777778</v>
      </c>
      <c r="K121" s="92">
        <f t="shared" si="1"/>
        <v>0.7118055556</v>
      </c>
      <c r="L121" s="92" t="str">
        <f>IFERROR(VLOOKUP(D121,'Công T5'!$C$7:$F$89,2,0),"")</f>
        <v/>
      </c>
      <c r="M121" s="92" t="str">
        <f>IFERROR(VLOOKUP(D121,'Công T5'!$C$7:$F$89,3,0),"")</f>
        <v/>
      </c>
      <c r="N121" s="92">
        <f t="shared" si="9"/>
        <v>0.3333333333</v>
      </c>
      <c r="O121" s="92">
        <f t="shared" si="2"/>
        <v>0.7083333333</v>
      </c>
      <c r="P121" s="94">
        <f t="shared" si="3"/>
        <v>0.5</v>
      </c>
      <c r="Q121" s="94">
        <f t="shared" si="4"/>
        <v>0.5</v>
      </c>
      <c r="R121" s="95">
        <f t="shared" si="5"/>
        <v>1</v>
      </c>
      <c r="S121" s="95">
        <f t="shared" si="6"/>
        <v>0</v>
      </c>
      <c r="T121" s="95">
        <f t="shared" si="7"/>
        <v>0</v>
      </c>
    </row>
    <row r="122">
      <c r="A122" s="96">
        <v>117.0</v>
      </c>
      <c r="B122" s="97">
        <v>44698.0</v>
      </c>
      <c r="C122" s="96">
        <v>10407.0</v>
      </c>
      <c r="D122" s="98" t="s">
        <v>61</v>
      </c>
      <c r="E122" s="98" t="s">
        <v>159</v>
      </c>
      <c r="F122" s="99">
        <v>0.7118055555555556</v>
      </c>
      <c r="G122" s="102"/>
      <c r="H122" s="101"/>
      <c r="I122" s="92" t="str">
        <f>IFERROR(VLOOKUP(D122,'Công T5'!$C$7:$F$89,4,0),"")</f>
        <v>ĐT</v>
      </c>
      <c r="J122" s="92">
        <f t="shared" si="8"/>
        <v>0.7118055556</v>
      </c>
      <c r="K122" s="92" t="str">
        <f t="shared" si="1"/>
        <v/>
      </c>
      <c r="L122" s="92" t="str">
        <f>IFERROR(VLOOKUP(D122,'Công T5'!$C$7:$F$89,2,0),"")</f>
        <v/>
      </c>
      <c r="M122" s="92" t="str">
        <f>IFERROR(VLOOKUP(D122,'Công T5'!$C$7:$F$89,3,0),"")</f>
        <v/>
      </c>
      <c r="N122" s="92">
        <f t="shared" si="9"/>
        <v>0.7118055556</v>
      </c>
      <c r="O122" s="92" t="str">
        <f t="shared" si="2"/>
        <v/>
      </c>
      <c r="P122" s="94">
        <f t="shared" si="3"/>
        <v>0</v>
      </c>
      <c r="Q122" s="94" t="str">
        <f t="shared" si="4"/>
        <v/>
      </c>
      <c r="R122" s="95">
        <f t="shared" si="5"/>
        <v>0.5</v>
      </c>
      <c r="S122" s="95" t="str">
        <f t="shared" si="6"/>
        <v/>
      </c>
      <c r="T122" s="95">
        <f t="shared" si="7"/>
        <v>1</v>
      </c>
    </row>
    <row r="123">
      <c r="A123" s="96">
        <v>118.0</v>
      </c>
      <c r="B123" s="97">
        <v>44699.0</v>
      </c>
      <c r="C123" s="96">
        <v>10407.0</v>
      </c>
      <c r="D123" s="98" t="s">
        <v>61</v>
      </c>
      <c r="E123" s="98" t="s">
        <v>159</v>
      </c>
      <c r="F123" s="99">
        <v>0.3263888888888889</v>
      </c>
      <c r="G123" s="102"/>
      <c r="H123" s="101"/>
      <c r="I123" s="92" t="str">
        <f>IFERROR(VLOOKUP(D123,'Công T5'!$C$7:$F$89,4,0),"")</f>
        <v>ĐT</v>
      </c>
      <c r="J123" s="92">
        <f t="shared" si="8"/>
        <v>0.3263888889</v>
      </c>
      <c r="K123" s="92">
        <f t="shared" si="1"/>
        <v>0.7118055556</v>
      </c>
      <c r="L123" s="92" t="str">
        <f>IFERROR(VLOOKUP(D123,'Công T5'!$C$7:$F$89,2,0),"")</f>
        <v/>
      </c>
      <c r="M123" s="92" t="str">
        <f>IFERROR(VLOOKUP(D123,'Công T5'!$C$7:$F$89,3,0),"")</f>
        <v/>
      </c>
      <c r="N123" s="92">
        <f t="shared" si="9"/>
        <v>0.3333333333</v>
      </c>
      <c r="O123" s="92">
        <f t="shared" si="2"/>
        <v>0.7083333333</v>
      </c>
      <c r="P123" s="94">
        <f t="shared" si="3"/>
        <v>0.5</v>
      </c>
      <c r="Q123" s="94">
        <f t="shared" si="4"/>
        <v>0.5</v>
      </c>
      <c r="R123" s="95">
        <f t="shared" si="5"/>
        <v>1</v>
      </c>
      <c r="S123" s="95">
        <f t="shared" si="6"/>
        <v>0</v>
      </c>
      <c r="T123" s="95">
        <f t="shared" si="7"/>
        <v>0</v>
      </c>
    </row>
    <row r="124">
      <c r="A124" s="96">
        <v>119.0</v>
      </c>
      <c r="B124" s="97">
        <v>44699.0</v>
      </c>
      <c r="C124" s="96">
        <v>10407.0</v>
      </c>
      <c r="D124" s="98" t="s">
        <v>61</v>
      </c>
      <c r="E124" s="98" t="s">
        <v>159</v>
      </c>
      <c r="F124" s="99">
        <v>0.7118055555555556</v>
      </c>
      <c r="G124" s="102"/>
      <c r="H124" s="101"/>
      <c r="I124" s="92" t="str">
        <f>IFERROR(VLOOKUP(D124,'Công T5'!$C$7:$F$89,4,0),"")</f>
        <v>ĐT</v>
      </c>
      <c r="J124" s="92">
        <f t="shared" si="8"/>
        <v>0.7118055556</v>
      </c>
      <c r="K124" s="92" t="str">
        <f t="shared" si="1"/>
        <v/>
      </c>
      <c r="L124" s="92" t="str">
        <f>IFERROR(VLOOKUP(D124,'Công T5'!$C$7:$F$89,2,0),"")</f>
        <v/>
      </c>
      <c r="M124" s="92" t="str">
        <f>IFERROR(VLOOKUP(D124,'Công T5'!$C$7:$F$89,3,0),"")</f>
        <v/>
      </c>
      <c r="N124" s="92">
        <f t="shared" si="9"/>
        <v>0.7118055556</v>
      </c>
      <c r="O124" s="92" t="str">
        <f t="shared" si="2"/>
        <v/>
      </c>
      <c r="P124" s="94">
        <f t="shared" si="3"/>
        <v>0</v>
      </c>
      <c r="Q124" s="94" t="str">
        <f t="shared" si="4"/>
        <v/>
      </c>
      <c r="R124" s="95">
        <f t="shared" si="5"/>
        <v>0.5</v>
      </c>
      <c r="S124" s="95" t="str">
        <f t="shared" si="6"/>
        <v/>
      </c>
      <c r="T124" s="95">
        <f t="shared" si="7"/>
        <v>1</v>
      </c>
    </row>
    <row r="125">
      <c r="A125" s="96">
        <v>120.0</v>
      </c>
      <c r="B125" s="97">
        <v>44700.0</v>
      </c>
      <c r="C125" s="96">
        <v>10407.0</v>
      </c>
      <c r="D125" s="98" t="s">
        <v>61</v>
      </c>
      <c r="E125" s="98" t="s">
        <v>159</v>
      </c>
      <c r="F125" s="99">
        <v>0.3236111111111111</v>
      </c>
      <c r="G125" s="102"/>
      <c r="H125" s="101"/>
      <c r="I125" s="92" t="str">
        <f>IFERROR(VLOOKUP(D125,'Công T5'!$C$7:$F$89,4,0),"")</f>
        <v>ĐT</v>
      </c>
      <c r="J125" s="92">
        <f t="shared" si="8"/>
        <v>0.3236111111</v>
      </c>
      <c r="K125" s="92">
        <f t="shared" si="1"/>
        <v>0.7125</v>
      </c>
      <c r="L125" s="92" t="str">
        <f>IFERROR(VLOOKUP(D125,'Công T5'!$C$7:$F$89,2,0),"")</f>
        <v/>
      </c>
      <c r="M125" s="92" t="str">
        <f>IFERROR(VLOOKUP(D125,'Công T5'!$C$7:$F$89,3,0),"")</f>
        <v/>
      </c>
      <c r="N125" s="92">
        <f t="shared" si="9"/>
        <v>0.3333333333</v>
      </c>
      <c r="O125" s="92">
        <f t="shared" si="2"/>
        <v>0.7083333333</v>
      </c>
      <c r="P125" s="94">
        <f t="shared" si="3"/>
        <v>0.5</v>
      </c>
      <c r="Q125" s="94">
        <f t="shared" si="4"/>
        <v>0.5</v>
      </c>
      <c r="R125" s="95">
        <f t="shared" si="5"/>
        <v>1</v>
      </c>
      <c r="S125" s="95">
        <f t="shared" si="6"/>
        <v>0</v>
      </c>
      <c r="T125" s="95">
        <f t="shared" si="7"/>
        <v>0</v>
      </c>
    </row>
    <row r="126">
      <c r="A126" s="96">
        <v>121.0</v>
      </c>
      <c r="B126" s="97">
        <v>44700.0</v>
      </c>
      <c r="C126" s="96">
        <v>10407.0</v>
      </c>
      <c r="D126" s="98" t="s">
        <v>61</v>
      </c>
      <c r="E126" s="98" t="s">
        <v>159</v>
      </c>
      <c r="F126" s="99">
        <v>0.7125</v>
      </c>
      <c r="G126" s="102"/>
      <c r="H126" s="101"/>
      <c r="I126" s="92" t="str">
        <f>IFERROR(VLOOKUP(D126,'Công T5'!$C$7:$F$89,4,0),"")</f>
        <v>ĐT</v>
      </c>
      <c r="J126" s="92">
        <f t="shared" si="8"/>
        <v>0.7125</v>
      </c>
      <c r="K126" s="92" t="str">
        <f t="shared" si="1"/>
        <v/>
      </c>
      <c r="L126" s="92" t="str">
        <f>IFERROR(VLOOKUP(D126,'Công T5'!$C$7:$F$89,2,0),"")</f>
        <v/>
      </c>
      <c r="M126" s="92" t="str">
        <f>IFERROR(VLOOKUP(D126,'Công T5'!$C$7:$F$89,3,0),"")</f>
        <v/>
      </c>
      <c r="N126" s="92">
        <f t="shared" si="9"/>
        <v>0.7125</v>
      </c>
      <c r="O126" s="92" t="str">
        <f t="shared" si="2"/>
        <v/>
      </c>
      <c r="P126" s="94">
        <f t="shared" si="3"/>
        <v>0</v>
      </c>
      <c r="Q126" s="94" t="str">
        <f t="shared" si="4"/>
        <v/>
      </c>
      <c r="R126" s="95">
        <f t="shared" si="5"/>
        <v>0.5</v>
      </c>
      <c r="S126" s="95" t="str">
        <f t="shared" si="6"/>
        <v/>
      </c>
      <c r="T126" s="95">
        <f t="shared" si="7"/>
        <v>1</v>
      </c>
    </row>
    <row r="127">
      <c r="A127" s="96">
        <v>122.0</v>
      </c>
      <c r="B127" s="97">
        <v>44704.0</v>
      </c>
      <c r="C127" s="96">
        <v>10407.0</v>
      </c>
      <c r="D127" s="98" t="s">
        <v>61</v>
      </c>
      <c r="E127" s="98" t="s">
        <v>159</v>
      </c>
      <c r="F127" s="99">
        <v>0.33055555555555555</v>
      </c>
      <c r="G127" s="102"/>
      <c r="H127" s="101"/>
      <c r="I127" s="92" t="str">
        <f>IFERROR(VLOOKUP(D127,'Công T5'!$C$7:$F$89,4,0),"")</f>
        <v>ĐT</v>
      </c>
      <c r="J127" s="92">
        <f t="shared" si="8"/>
        <v>0.3305555556</v>
      </c>
      <c r="K127" s="92">
        <f t="shared" si="1"/>
        <v>0.7118055556</v>
      </c>
      <c r="L127" s="92" t="str">
        <f>IFERROR(VLOOKUP(D127,'Công T5'!$C$7:$F$89,2,0),"")</f>
        <v/>
      </c>
      <c r="M127" s="92" t="str">
        <f>IFERROR(VLOOKUP(D127,'Công T5'!$C$7:$F$89,3,0),"")</f>
        <v/>
      </c>
      <c r="N127" s="92">
        <f t="shared" si="9"/>
        <v>0.3333333333</v>
      </c>
      <c r="O127" s="92">
        <f t="shared" si="2"/>
        <v>0.7083333333</v>
      </c>
      <c r="P127" s="94">
        <f t="shared" si="3"/>
        <v>0.5</v>
      </c>
      <c r="Q127" s="94">
        <f t="shared" si="4"/>
        <v>0.5</v>
      </c>
      <c r="R127" s="95">
        <f t="shared" si="5"/>
        <v>1</v>
      </c>
      <c r="S127" s="95">
        <f t="shared" si="6"/>
        <v>0</v>
      </c>
      <c r="T127" s="95">
        <f t="shared" si="7"/>
        <v>0</v>
      </c>
    </row>
    <row r="128">
      <c r="A128" s="96">
        <v>123.0</v>
      </c>
      <c r="B128" s="97">
        <v>44704.0</v>
      </c>
      <c r="C128" s="96">
        <v>10407.0</v>
      </c>
      <c r="D128" s="98" t="s">
        <v>61</v>
      </c>
      <c r="E128" s="98" t="s">
        <v>159</v>
      </c>
      <c r="F128" s="99">
        <v>0.7118055555555556</v>
      </c>
      <c r="G128" s="102"/>
      <c r="H128" s="101"/>
      <c r="I128" s="92" t="str">
        <f>IFERROR(VLOOKUP(D128,'Công T5'!$C$7:$F$89,4,0),"")</f>
        <v>ĐT</v>
      </c>
      <c r="J128" s="92">
        <f t="shared" si="8"/>
        <v>0.7118055556</v>
      </c>
      <c r="K128" s="92" t="str">
        <f t="shared" si="1"/>
        <v/>
      </c>
      <c r="L128" s="92" t="str">
        <f>IFERROR(VLOOKUP(D128,'Công T5'!$C$7:$F$89,2,0),"")</f>
        <v/>
      </c>
      <c r="M128" s="92" t="str">
        <f>IFERROR(VLOOKUP(D128,'Công T5'!$C$7:$F$89,3,0),"")</f>
        <v/>
      </c>
      <c r="N128" s="92">
        <f t="shared" si="9"/>
        <v>0.7118055556</v>
      </c>
      <c r="O128" s="92" t="str">
        <f t="shared" si="2"/>
        <v/>
      </c>
      <c r="P128" s="94">
        <f t="shared" si="3"/>
        <v>0</v>
      </c>
      <c r="Q128" s="94" t="str">
        <f t="shared" si="4"/>
        <v/>
      </c>
      <c r="R128" s="95">
        <f t="shared" si="5"/>
        <v>0.5</v>
      </c>
      <c r="S128" s="95" t="str">
        <f t="shared" si="6"/>
        <v/>
      </c>
      <c r="T128" s="95">
        <f t="shared" si="7"/>
        <v>1</v>
      </c>
    </row>
    <row r="129">
      <c r="A129" s="96">
        <v>124.0</v>
      </c>
      <c r="B129" s="97">
        <v>44705.0</v>
      </c>
      <c r="C129" s="96">
        <v>10407.0</v>
      </c>
      <c r="D129" s="98" t="s">
        <v>61</v>
      </c>
      <c r="E129" s="98" t="s">
        <v>159</v>
      </c>
      <c r="F129" s="99">
        <v>0.3333333333333333</v>
      </c>
      <c r="G129" s="102"/>
      <c r="H129" s="101"/>
      <c r="I129" s="92" t="str">
        <f>IFERROR(VLOOKUP(D129,'Công T5'!$C$7:$F$89,4,0),"")</f>
        <v>ĐT</v>
      </c>
      <c r="J129" s="92">
        <f t="shared" si="8"/>
        <v>0.3333333333</v>
      </c>
      <c r="K129" s="92">
        <f t="shared" si="1"/>
        <v>0.7173611111</v>
      </c>
      <c r="L129" s="92" t="str">
        <f>IFERROR(VLOOKUP(D129,'Công T5'!$C$7:$F$89,2,0),"")</f>
        <v/>
      </c>
      <c r="M129" s="92" t="str">
        <f>IFERROR(VLOOKUP(D129,'Công T5'!$C$7:$F$89,3,0),"")</f>
        <v/>
      </c>
      <c r="N129" s="92">
        <f t="shared" si="9"/>
        <v>0.3333333333</v>
      </c>
      <c r="O129" s="92">
        <f t="shared" si="2"/>
        <v>0.7083333333</v>
      </c>
      <c r="P129" s="94">
        <f t="shared" si="3"/>
        <v>0.5</v>
      </c>
      <c r="Q129" s="94">
        <f t="shared" si="4"/>
        <v>0.5</v>
      </c>
      <c r="R129" s="95">
        <f t="shared" si="5"/>
        <v>1</v>
      </c>
      <c r="S129" s="95">
        <f t="shared" si="6"/>
        <v>0</v>
      </c>
      <c r="T129" s="95">
        <f t="shared" si="7"/>
        <v>0</v>
      </c>
    </row>
    <row r="130">
      <c r="A130" s="96">
        <v>125.0</v>
      </c>
      <c r="B130" s="97">
        <v>44705.0</v>
      </c>
      <c r="C130" s="96">
        <v>10407.0</v>
      </c>
      <c r="D130" s="98" t="s">
        <v>61</v>
      </c>
      <c r="E130" s="98" t="s">
        <v>159</v>
      </c>
      <c r="F130" s="99">
        <v>0.7173611111111111</v>
      </c>
      <c r="G130" s="102"/>
      <c r="H130" s="101"/>
      <c r="I130" s="92" t="str">
        <f>IFERROR(VLOOKUP(D130,'Công T5'!$C$7:$F$89,4,0),"")</f>
        <v>ĐT</v>
      </c>
      <c r="J130" s="92">
        <f t="shared" si="8"/>
        <v>0.7173611111</v>
      </c>
      <c r="K130" s="92" t="str">
        <f t="shared" si="1"/>
        <v/>
      </c>
      <c r="L130" s="92" t="str">
        <f>IFERROR(VLOOKUP(D130,'Công T5'!$C$7:$F$89,2,0),"")</f>
        <v/>
      </c>
      <c r="M130" s="92" t="str">
        <f>IFERROR(VLOOKUP(D130,'Công T5'!$C$7:$F$89,3,0),"")</f>
        <v/>
      </c>
      <c r="N130" s="92">
        <f t="shared" si="9"/>
        <v>0.7173611111</v>
      </c>
      <c r="O130" s="92" t="str">
        <f t="shared" si="2"/>
        <v/>
      </c>
      <c r="P130" s="94">
        <f t="shared" si="3"/>
        <v>0</v>
      </c>
      <c r="Q130" s="94" t="str">
        <f t="shared" si="4"/>
        <v/>
      </c>
      <c r="R130" s="95">
        <f t="shared" si="5"/>
        <v>0.5</v>
      </c>
      <c r="S130" s="95" t="str">
        <f t="shared" si="6"/>
        <v/>
      </c>
      <c r="T130" s="95">
        <f t="shared" si="7"/>
        <v>1</v>
      </c>
    </row>
    <row r="131">
      <c r="A131" s="96">
        <v>126.0</v>
      </c>
      <c r="B131" s="97">
        <v>44706.0</v>
      </c>
      <c r="C131" s="96">
        <v>10407.0</v>
      </c>
      <c r="D131" s="98" t="s">
        <v>61</v>
      </c>
      <c r="E131" s="98" t="s">
        <v>159</v>
      </c>
      <c r="F131" s="99">
        <v>0.3277777777777778</v>
      </c>
      <c r="G131" s="102"/>
      <c r="H131" s="101"/>
      <c r="I131" s="92" t="str">
        <f>IFERROR(VLOOKUP(D131,'Công T5'!$C$7:$F$89,4,0),"")</f>
        <v>ĐT</v>
      </c>
      <c r="J131" s="92">
        <f t="shared" si="8"/>
        <v>0.3277777778</v>
      </c>
      <c r="K131" s="92">
        <f t="shared" si="1"/>
        <v>0.7118055556</v>
      </c>
      <c r="L131" s="92" t="str">
        <f>IFERROR(VLOOKUP(D131,'Công T5'!$C$7:$F$89,2,0),"")</f>
        <v/>
      </c>
      <c r="M131" s="92" t="str">
        <f>IFERROR(VLOOKUP(D131,'Công T5'!$C$7:$F$89,3,0),"")</f>
        <v/>
      </c>
      <c r="N131" s="92">
        <f t="shared" si="9"/>
        <v>0.3333333333</v>
      </c>
      <c r="O131" s="92">
        <f t="shared" si="2"/>
        <v>0.7083333333</v>
      </c>
      <c r="P131" s="94">
        <f t="shared" si="3"/>
        <v>0.5</v>
      </c>
      <c r="Q131" s="94">
        <f t="shared" si="4"/>
        <v>0.5</v>
      </c>
      <c r="R131" s="95">
        <f t="shared" si="5"/>
        <v>1</v>
      </c>
      <c r="S131" s="95">
        <f t="shared" si="6"/>
        <v>0</v>
      </c>
      <c r="T131" s="95">
        <f t="shared" si="7"/>
        <v>0</v>
      </c>
    </row>
    <row r="132">
      <c r="A132" s="96">
        <v>127.0</v>
      </c>
      <c r="B132" s="97">
        <v>44706.0</v>
      </c>
      <c r="C132" s="96">
        <v>10407.0</v>
      </c>
      <c r="D132" s="98" t="s">
        <v>61</v>
      </c>
      <c r="E132" s="98" t="s">
        <v>159</v>
      </c>
      <c r="F132" s="99">
        <v>0.7118055555555556</v>
      </c>
      <c r="G132" s="102"/>
      <c r="H132" s="101"/>
      <c r="I132" s="92" t="str">
        <f>IFERROR(VLOOKUP(D132,'Công T5'!$C$7:$F$89,4,0),"")</f>
        <v>ĐT</v>
      </c>
      <c r="J132" s="92">
        <f t="shared" si="8"/>
        <v>0.7118055556</v>
      </c>
      <c r="K132" s="92" t="str">
        <f t="shared" si="1"/>
        <v/>
      </c>
      <c r="L132" s="92" t="str">
        <f>IFERROR(VLOOKUP(D132,'Công T5'!$C$7:$F$89,2,0),"")</f>
        <v/>
      </c>
      <c r="M132" s="92" t="str">
        <f>IFERROR(VLOOKUP(D132,'Công T5'!$C$7:$F$89,3,0),"")</f>
        <v/>
      </c>
      <c r="N132" s="92">
        <f t="shared" si="9"/>
        <v>0.7118055556</v>
      </c>
      <c r="O132" s="92" t="str">
        <f t="shared" si="2"/>
        <v/>
      </c>
      <c r="P132" s="94">
        <f t="shared" si="3"/>
        <v>0</v>
      </c>
      <c r="Q132" s="94" t="str">
        <f t="shared" si="4"/>
        <v/>
      </c>
      <c r="R132" s="95">
        <f t="shared" si="5"/>
        <v>0.5</v>
      </c>
      <c r="S132" s="95" t="str">
        <f t="shared" si="6"/>
        <v/>
      </c>
      <c r="T132" s="95">
        <f t="shared" si="7"/>
        <v>1</v>
      </c>
    </row>
    <row r="133">
      <c r="A133" s="96">
        <v>128.0</v>
      </c>
      <c r="B133" s="97">
        <v>44677.0</v>
      </c>
      <c r="C133" s="96">
        <v>10408.0</v>
      </c>
      <c r="D133" s="98" t="s">
        <v>62</v>
      </c>
      <c r="E133" s="98" t="s">
        <v>159</v>
      </c>
      <c r="F133" s="99">
        <v>0.3229166666666667</v>
      </c>
      <c r="G133" s="102"/>
      <c r="H133" s="101"/>
      <c r="I133" s="92" t="str">
        <f>IFERROR(VLOOKUP(D133,'Công T5'!$C$7:$F$89,4,0),"")</f>
        <v>ĐT</v>
      </c>
      <c r="J133" s="92">
        <f t="shared" si="8"/>
        <v>0.3229166667</v>
      </c>
      <c r="K133" s="92">
        <f t="shared" si="1"/>
        <v>0.7104166667</v>
      </c>
      <c r="L133" s="92" t="str">
        <f>IFERROR(VLOOKUP(D133,'Công T5'!$C$7:$F$89,2,0),"")</f>
        <v/>
      </c>
      <c r="M133" s="92" t="str">
        <f>IFERROR(VLOOKUP(D133,'Công T5'!$C$7:$F$89,3,0),"")</f>
        <v/>
      </c>
      <c r="N133" s="92">
        <f t="shared" si="9"/>
        <v>0.3333333333</v>
      </c>
      <c r="O133" s="92">
        <f t="shared" si="2"/>
        <v>0.7083333333</v>
      </c>
      <c r="P133" s="94">
        <f t="shared" si="3"/>
        <v>0.5</v>
      </c>
      <c r="Q133" s="94">
        <f t="shared" si="4"/>
        <v>0.5</v>
      </c>
      <c r="R133" s="95">
        <f t="shared" si="5"/>
        <v>1</v>
      </c>
      <c r="S133" s="95">
        <f t="shared" si="6"/>
        <v>0</v>
      </c>
      <c r="T133" s="95">
        <f t="shared" si="7"/>
        <v>0</v>
      </c>
    </row>
    <row r="134">
      <c r="A134" s="96">
        <v>129.0</v>
      </c>
      <c r="B134" s="97">
        <v>44677.0</v>
      </c>
      <c r="C134" s="96">
        <v>10408.0</v>
      </c>
      <c r="D134" s="98" t="s">
        <v>62</v>
      </c>
      <c r="E134" s="98" t="s">
        <v>159</v>
      </c>
      <c r="F134" s="99">
        <v>0.7104166666666667</v>
      </c>
      <c r="G134" s="102"/>
      <c r="H134" s="101"/>
      <c r="I134" s="92" t="str">
        <f>IFERROR(VLOOKUP(D134,'Công T5'!$C$7:$F$89,4,0),"")</f>
        <v>ĐT</v>
      </c>
      <c r="J134" s="92">
        <f t="shared" si="8"/>
        <v>0.7104166667</v>
      </c>
      <c r="K134" s="92" t="str">
        <f t="shared" si="1"/>
        <v/>
      </c>
      <c r="L134" s="92" t="str">
        <f>IFERROR(VLOOKUP(D134,'Công T5'!$C$7:$F$89,2,0),"")</f>
        <v/>
      </c>
      <c r="M134" s="92" t="str">
        <f>IFERROR(VLOOKUP(D134,'Công T5'!$C$7:$F$89,3,0),"")</f>
        <v/>
      </c>
      <c r="N134" s="92">
        <f t="shared" si="9"/>
        <v>0.7104166667</v>
      </c>
      <c r="O134" s="92" t="str">
        <f t="shared" si="2"/>
        <v/>
      </c>
      <c r="P134" s="94">
        <f t="shared" si="3"/>
        <v>0</v>
      </c>
      <c r="Q134" s="94" t="str">
        <f t="shared" si="4"/>
        <v/>
      </c>
      <c r="R134" s="95">
        <f t="shared" si="5"/>
        <v>0.5</v>
      </c>
      <c r="S134" s="95" t="str">
        <f t="shared" si="6"/>
        <v/>
      </c>
      <c r="T134" s="95">
        <f t="shared" si="7"/>
        <v>1</v>
      </c>
    </row>
    <row r="135">
      <c r="A135" s="96">
        <v>130.0</v>
      </c>
      <c r="B135" s="97">
        <v>44678.0</v>
      </c>
      <c r="C135" s="96">
        <v>10408.0</v>
      </c>
      <c r="D135" s="98" t="s">
        <v>62</v>
      </c>
      <c r="E135" s="98" t="s">
        <v>159</v>
      </c>
      <c r="F135" s="99">
        <v>0.3229166666666667</v>
      </c>
      <c r="G135" s="102"/>
      <c r="H135" s="101"/>
      <c r="I135" s="92" t="str">
        <f>IFERROR(VLOOKUP(D135,'Công T5'!$C$7:$F$89,4,0),"")</f>
        <v>ĐT</v>
      </c>
      <c r="J135" s="92">
        <f t="shared" si="8"/>
        <v>0.3229166667</v>
      </c>
      <c r="K135" s="92">
        <f t="shared" si="1"/>
        <v>0.7152777778</v>
      </c>
      <c r="L135" s="92" t="str">
        <f>IFERROR(VLOOKUP(D135,'Công T5'!$C$7:$F$89,2,0),"")</f>
        <v/>
      </c>
      <c r="M135" s="92" t="str">
        <f>IFERROR(VLOOKUP(D135,'Công T5'!$C$7:$F$89,3,0),"")</f>
        <v/>
      </c>
      <c r="N135" s="92">
        <f t="shared" si="9"/>
        <v>0.3333333333</v>
      </c>
      <c r="O135" s="92">
        <f t="shared" si="2"/>
        <v>0.7083333333</v>
      </c>
      <c r="P135" s="94">
        <f t="shared" si="3"/>
        <v>0.5</v>
      </c>
      <c r="Q135" s="94">
        <f t="shared" si="4"/>
        <v>0.5</v>
      </c>
      <c r="R135" s="95">
        <f t="shared" si="5"/>
        <v>1</v>
      </c>
      <c r="S135" s="95">
        <f t="shared" si="6"/>
        <v>0</v>
      </c>
      <c r="T135" s="95">
        <f t="shared" si="7"/>
        <v>0</v>
      </c>
    </row>
    <row r="136">
      <c r="A136" s="96">
        <v>131.0</v>
      </c>
      <c r="B136" s="97">
        <v>44678.0</v>
      </c>
      <c r="C136" s="96">
        <v>10408.0</v>
      </c>
      <c r="D136" s="98" t="s">
        <v>62</v>
      </c>
      <c r="E136" s="98" t="s">
        <v>159</v>
      </c>
      <c r="F136" s="99">
        <v>0.7152777777777778</v>
      </c>
      <c r="G136" s="102"/>
      <c r="H136" s="101"/>
      <c r="I136" s="92" t="str">
        <f>IFERROR(VLOOKUP(D136,'Công T5'!$C$7:$F$89,4,0),"")</f>
        <v>ĐT</v>
      </c>
      <c r="J136" s="92">
        <f t="shared" si="8"/>
        <v>0.7152777778</v>
      </c>
      <c r="K136" s="92" t="str">
        <f t="shared" si="1"/>
        <v/>
      </c>
      <c r="L136" s="92" t="str">
        <f>IFERROR(VLOOKUP(D136,'Công T5'!$C$7:$F$89,2,0),"")</f>
        <v/>
      </c>
      <c r="M136" s="92" t="str">
        <f>IFERROR(VLOOKUP(D136,'Công T5'!$C$7:$F$89,3,0),"")</f>
        <v/>
      </c>
      <c r="N136" s="92">
        <f t="shared" si="9"/>
        <v>0.7152777778</v>
      </c>
      <c r="O136" s="92" t="str">
        <f t="shared" si="2"/>
        <v/>
      </c>
      <c r="P136" s="94">
        <f t="shared" si="3"/>
        <v>0</v>
      </c>
      <c r="Q136" s="94" t="str">
        <f t="shared" si="4"/>
        <v/>
      </c>
      <c r="R136" s="95">
        <f t="shared" si="5"/>
        <v>0.5</v>
      </c>
      <c r="S136" s="95" t="str">
        <f t="shared" si="6"/>
        <v/>
      </c>
      <c r="T136" s="95">
        <f t="shared" si="7"/>
        <v>1</v>
      </c>
    </row>
    <row r="137">
      <c r="A137" s="96">
        <v>132.0</v>
      </c>
      <c r="B137" s="97">
        <v>44679.0</v>
      </c>
      <c r="C137" s="96">
        <v>10408.0</v>
      </c>
      <c r="D137" s="98" t="s">
        <v>62</v>
      </c>
      <c r="E137" s="98" t="s">
        <v>159</v>
      </c>
      <c r="F137" s="99">
        <v>0.3236111111111111</v>
      </c>
      <c r="G137" s="102"/>
      <c r="H137" s="101"/>
      <c r="I137" s="92" t="str">
        <f>IFERROR(VLOOKUP(D137,'Công T5'!$C$7:$F$89,4,0),"")</f>
        <v>ĐT</v>
      </c>
      <c r="J137" s="92">
        <f t="shared" si="8"/>
        <v>0.3236111111</v>
      </c>
      <c r="K137" s="92">
        <f t="shared" si="1"/>
        <v>0.7166666667</v>
      </c>
      <c r="L137" s="92" t="str">
        <f>IFERROR(VLOOKUP(D137,'Công T5'!$C$7:$F$89,2,0),"")</f>
        <v/>
      </c>
      <c r="M137" s="92" t="str">
        <f>IFERROR(VLOOKUP(D137,'Công T5'!$C$7:$F$89,3,0),"")</f>
        <v/>
      </c>
      <c r="N137" s="92">
        <f t="shared" si="9"/>
        <v>0.3333333333</v>
      </c>
      <c r="O137" s="92">
        <f t="shared" si="2"/>
        <v>0.7083333333</v>
      </c>
      <c r="P137" s="94">
        <f t="shared" si="3"/>
        <v>0.5</v>
      </c>
      <c r="Q137" s="94">
        <f t="shared" si="4"/>
        <v>0.5</v>
      </c>
      <c r="R137" s="95">
        <f t="shared" si="5"/>
        <v>1</v>
      </c>
      <c r="S137" s="95">
        <f t="shared" si="6"/>
        <v>0</v>
      </c>
      <c r="T137" s="95">
        <f t="shared" si="7"/>
        <v>0</v>
      </c>
    </row>
    <row r="138">
      <c r="A138" s="96">
        <v>133.0</v>
      </c>
      <c r="B138" s="97">
        <v>44679.0</v>
      </c>
      <c r="C138" s="96">
        <v>10408.0</v>
      </c>
      <c r="D138" s="98" t="s">
        <v>62</v>
      </c>
      <c r="E138" s="98" t="s">
        <v>159</v>
      </c>
      <c r="F138" s="99">
        <v>0.7166666666666667</v>
      </c>
      <c r="G138" s="102"/>
      <c r="H138" s="101"/>
      <c r="I138" s="92" t="str">
        <f>IFERROR(VLOOKUP(D138,'Công T5'!$C$7:$F$89,4,0),"")</f>
        <v>ĐT</v>
      </c>
      <c r="J138" s="92">
        <f t="shared" si="8"/>
        <v>0.7166666667</v>
      </c>
      <c r="K138" s="92" t="str">
        <f t="shared" si="1"/>
        <v/>
      </c>
      <c r="L138" s="92" t="str">
        <f>IFERROR(VLOOKUP(D138,'Công T5'!$C$7:$F$89,2,0),"")</f>
        <v/>
      </c>
      <c r="M138" s="92" t="str">
        <f>IFERROR(VLOOKUP(D138,'Công T5'!$C$7:$F$89,3,0),"")</f>
        <v/>
      </c>
      <c r="N138" s="92">
        <f t="shared" si="9"/>
        <v>0.7166666667</v>
      </c>
      <c r="O138" s="92" t="str">
        <f t="shared" si="2"/>
        <v/>
      </c>
      <c r="P138" s="94">
        <f t="shared" si="3"/>
        <v>0</v>
      </c>
      <c r="Q138" s="94" t="str">
        <f t="shared" si="4"/>
        <v/>
      </c>
      <c r="R138" s="95">
        <f t="shared" si="5"/>
        <v>0.5</v>
      </c>
      <c r="S138" s="95" t="str">
        <f t="shared" si="6"/>
        <v/>
      </c>
      <c r="T138" s="95">
        <f t="shared" si="7"/>
        <v>1</v>
      </c>
    </row>
    <row r="139">
      <c r="A139" s="96">
        <v>134.0</v>
      </c>
      <c r="B139" s="97">
        <v>44680.0</v>
      </c>
      <c r="C139" s="96">
        <v>10408.0</v>
      </c>
      <c r="D139" s="98" t="s">
        <v>62</v>
      </c>
      <c r="E139" s="98" t="s">
        <v>159</v>
      </c>
      <c r="F139" s="99">
        <v>0.3215277777777778</v>
      </c>
      <c r="G139" s="102"/>
      <c r="H139" s="101"/>
      <c r="I139" s="92" t="str">
        <f>IFERROR(VLOOKUP(D139,'Công T5'!$C$7:$F$89,4,0),"")</f>
        <v>ĐT</v>
      </c>
      <c r="J139" s="92">
        <f t="shared" si="8"/>
        <v>0.3215277778</v>
      </c>
      <c r="K139" s="92">
        <f t="shared" si="1"/>
        <v>0.7118055556</v>
      </c>
      <c r="L139" s="92" t="str">
        <f>IFERROR(VLOOKUP(D139,'Công T5'!$C$7:$F$89,2,0),"")</f>
        <v/>
      </c>
      <c r="M139" s="92" t="str">
        <f>IFERROR(VLOOKUP(D139,'Công T5'!$C$7:$F$89,3,0),"")</f>
        <v/>
      </c>
      <c r="N139" s="92">
        <f t="shared" si="9"/>
        <v>0.3333333333</v>
      </c>
      <c r="O139" s="92">
        <f t="shared" si="2"/>
        <v>0.7083333333</v>
      </c>
      <c r="P139" s="94">
        <f t="shared" si="3"/>
        <v>0.5</v>
      </c>
      <c r="Q139" s="94">
        <f t="shared" si="4"/>
        <v>0.5</v>
      </c>
      <c r="R139" s="95">
        <f t="shared" si="5"/>
        <v>1</v>
      </c>
      <c r="S139" s="95">
        <f t="shared" si="6"/>
        <v>0</v>
      </c>
      <c r="T139" s="95">
        <f t="shared" si="7"/>
        <v>0</v>
      </c>
    </row>
    <row r="140">
      <c r="A140" s="96">
        <v>135.0</v>
      </c>
      <c r="B140" s="97">
        <v>44680.0</v>
      </c>
      <c r="C140" s="96">
        <v>10408.0</v>
      </c>
      <c r="D140" s="98" t="s">
        <v>62</v>
      </c>
      <c r="E140" s="98" t="s">
        <v>159</v>
      </c>
      <c r="F140" s="99">
        <v>0.7118055555555556</v>
      </c>
      <c r="G140" s="102"/>
      <c r="H140" s="101"/>
      <c r="I140" s="92" t="str">
        <f>IFERROR(VLOOKUP(D140,'Công T5'!$C$7:$F$89,4,0),"")</f>
        <v>ĐT</v>
      </c>
      <c r="J140" s="92">
        <f t="shared" si="8"/>
        <v>0.7118055556</v>
      </c>
      <c r="K140" s="92" t="str">
        <f t="shared" si="1"/>
        <v/>
      </c>
      <c r="L140" s="92" t="str">
        <f>IFERROR(VLOOKUP(D140,'Công T5'!$C$7:$F$89,2,0),"")</f>
        <v/>
      </c>
      <c r="M140" s="92" t="str">
        <f>IFERROR(VLOOKUP(D140,'Công T5'!$C$7:$F$89,3,0),"")</f>
        <v/>
      </c>
      <c r="N140" s="92">
        <f t="shared" si="9"/>
        <v>0.7118055556</v>
      </c>
      <c r="O140" s="92" t="str">
        <f t="shared" si="2"/>
        <v/>
      </c>
      <c r="P140" s="94">
        <f t="shared" si="3"/>
        <v>0</v>
      </c>
      <c r="Q140" s="94" t="str">
        <f t="shared" si="4"/>
        <v/>
      </c>
      <c r="R140" s="95">
        <f t="shared" si="5"/>
        <v>0.5</v>
      </c>
      <c r="S140" s="95" t="str">
        <f t="shared" si="6"/>
        <v/>
      </c>
      <c r="T140" s="95">
        <f t="shared" si="7"/>
        <v>1</v>
      </c>
    </row>
    <row r="141">
      <c r="A141" s="96">
        <v>136.0</v>
      </c>
      <c r="B141" s="97">
        <v>44685.0</v>
      </c>
      <c r="C141" s="96">
        <v>10408.0</v>
      </c>
      <c r="D141" s="98" t="s">
        <v>62</v>
      </c>
      <c r="E141" s="98" t="s">
        <v>159</v>
      </c>
      <c r="F141" s="99">
        <v>0.32083333333333336</v>
      </c>
      <c r="G141" s="102"/>
      <c r="H141" s="101"/>
      <c r="I141" s="92" t="str">
        <f>IFERROR(VLOOKUP(D141,'Công T5'!$C$7:$F$89,4,0),"")</f>
        <v>ĐT</v>
      </c>
      <c r="J141" s="92">
        <f t="shared" si="8"/>
        <v>0.3208333333</v>
      </c>
      <c r="K141" s="92">
        <f t="shared" si="1"/>
        <v>0.7125</v>
      </c>
      <c r="L141" s="92" t="str">
        <f>IFERROR(VLOOKUP(D141,'Công T5'!$C$7:$F$89,2,0),"")</f>
        <v/>
      </c>
      <c r="M141" s="92" t="str">
        <f>IFERROR(VLOOKUP(D141,'Công T5'!$C$7:$F$89,3,0),"")</f>
        <v/>
      </c>
      <c r="N141" s="92">
        <f t="shared" si="9"/>
        <v>0.3333333333</v>
      </c>
      <c r="O141" s="92">
        <f t="shared" si="2"/>
        <v>0.7083333333</v>
      </c>
      <c r="P141" s="94">
        <f t="shared" si="3"/>
        <v>0.5</v>
      </c>
      <c r="Q141" s="94">
        <f t="shared" si="4"/>
        <v>0.5</v>
      </c>
      <c r="R141" s="95">
        <f t="shared" si="5"/>
        <v>1</v>
      </c>
      <c r="S141" s="95">
        <f t="shared" si="6"/>
        <v>0</v>
      </c>
      <c r="T141" s="95">
        <f t="shared" si="7"/>
        <v>0</v>
      </c>
    </row>
    <row r="142">
      <c r="A142" s="96">
        <v>137.0</v>
      </c>
      <c r="B142" s="97">
        <v>44685.0</v>
      </c>
      <c r="C142" s="96">
        <v>10408.0</v>
      </c>
      <c r="D142" s="98" t="s">
        <v>62</v>
      </c>
      <c r="E142" s="98" t="s">
        <v>159</v>
      </c>
      <c r="F142" s="99">
        <v>0.7125</v>
      </c>
      <c r="G142" s="102"/>
      <c r="H142" s="101"/>
      <c r="I142" s="92" t="str">
        <f>IFERROR(VLOOKUP(D142,'Công T5'!$C$7:$F$89,4,0),"")</f>
        <v>ĐT</v>
      </c>
      <c r="J142" s="92">
        <f t="shared" si="8"/>
        <v>0.7125</v>
      </c>
      <c r="K142" s="92" t="str">
        <f t="shared" si="1"/>
        <v/>
      </c>
      <c r="L142" s="92" t="str">
        <f>IFERROR(VLOOKUP(D142,'Công T5'!$C$7:$F$89,2,0),"")</f>
        <v/>
      </c>
      <c r="M142" s="92" t="str">
        <f>IFERROR(VLOOKUP(D142,'Công T5'!$C$7:$F$89,3,0),"")</f>
        <v/>
      </c>
      <c r="N142" s="92">
        <f t="shared" si="9"/>
        <v>0.7125</v>
      </c>
      <c r="O142" s="92" t="str">
        <f t="shared" si="2"/>
        <v/>
      </c>
      <c r="P142" s="94">
        <f t="shared" si="3"/>
        <v>0</v>
      </c>
      <c r="Q142" s="94" t="str">
        <f t="shared" si="4"/>
        <v/>
      </c>
      <c r="R142" s="95">
        <f t="shared" si="5"/>
        <v>0.5</v>
      </c>
      <c r="S142" s="95" t="str">
        <f t="shared" si="6"/>
        <v/>
      </c>
      <c r="T142" s="95">
        <f t="shared" si="7"/>
        <v>1</v>
      </c>
    </row>
    <row r="143">
      <c r="A143" s="96">
        <v>138.0</v>
      </c>
      <c r="B143" s="97">
        <v>44686.0</v>
      </c>
      <c r="C143" s="96">
        <v>10408.0</v>
      </c>
      <c r="D143" s="98" t="s">
        <v>62</v>
      </c>
      <c r="E143" s="98" t="s">
        <v>159</v>
      </c>
      <c r="F143" s="99">
        <v>0.32083333333333336</v>
      </c>
      <c r="G143" s="102"/>
      <c r="H143" s="101"/>
      <c r="I143" s="92" t="str">
        <f>IFERROR(VLOOKUP(D143,'Công T5'!$C$7:$F$89,4,0),"")</f>
        <v>ĐT</v>
      </c>
      <c r="J143" s="92">
        <f t="shared" si="8"/>
        <v>0.3208333333</v>
      </c>
      <c r="K143" s="92">
        <f t="shared" si="1"/>
        <v>0.7152777778</v>
      </c>
      <c r="L143" s="92" t="str">
        <f>IFERROR(VLOOKUP(D143,'Công T5'!$C$7:$F$89,2,0),"")</f>
        <v/>
      </c>
      <c r="M143" s="92" t="str">
        <f>IFERROR(VLOOKUP(D143,'Công T5'!$C$7:$F$89,3,0),"")</f>
        <v/>
      </c>
      <c r="N143" s="92">
        <f t="shared" si="9"/>
        <v>0.3333333333</v>
      </c>
      <c r="O143" s="92">
        <f t="shared" si="2"/>
        <v>0.7083333333</v>
      </c>
      <c r="P143" s="94">
        <f t="shared" si="3"/>
        <v>0.5</v>
      </c>
      <c r="Q143" s="94">
        <f t="shared" si="4"/>
        <v>0.5</v>
      </c>
      <c r="R143" s="95">
        <f t="shared" si="5"/>
        <v>1</v>
      </c>
      <c r="S143" s="95">
        <f t="shared" si="6"/>
        <v>0</v>
      </c>
      <c r="T143" s="95">
        <f t="shared" si="7"/>
        <v>0</v>
      </c>
    </row>
    <row r="144">
      <c r="A144" s="96">
        <v>139.0</v>
      </c>
      <c r="B144" s="97">
        <v>44686.0</v>
      </c>
      <c r="C144" s="96">
        <v>10408.0</v>
      </c>
      <c r="D144" s="98" t="s">
        <v>62</v>
      </c>
      <c r="E144" s="98" t="s">
        <v>159</v>
      </c>
      <c r="F144" s="99">
        <v>0.7152777777777778</v>
      </c>
      <c r="G144" s="102"/>
      <c r="H144" s="101"/>
      <c r="I144" s="92" t="str">
        <f>IFERROR(VLOOKUP(D144,'Công T5'!$C$7:$F$89,4,0),"")</f>
        <v>ĐT</v>
      </c>
      <c r="J144" s="92">
        <f t="shared" si="8"/>
        <v>0.7152777778</v>
      </c>
      <c r="K144" s="92" t="str">
        <f t="shared" si="1"/>
        <v/>
      </c>
      <c r="L144" s="92" t="str">
        <f>IFERROR(VLOOKUP(D144,'Công T5'!$C$7:$F$89,2,0),"")</f>
        <v/>
      </c>
      <c r="M144" s="92" t="str">
        <f>IFERROR(VLOOKUP(D144,'Công T5'!$C$7:$F$89,3,0),"")</f>
        <v/>
      </c>
      <c r="N144" s="92">
        <f t="shared" si="9"/>
        <v>0.7152777778</v>
      </c>
      <c r="O144" s="92" t="str">
        <f t="shared" si="2"/>
        <v/>
      </c>
      <c r="P144" s="94">
        <f t="shared" si="3"/>
        <v>0</v>
      </c>
      <c r="Q144" s="94" t="str">
        <f t="shared" si="4"/>
        <v/>
      </c>
      <c r="R144" s="95">
        <f t="shared" si="5"/>
        <v>0.5</v>
      </c>
      <c r="S144" s="95" t="str">
        <f t="shared" si="6"/>
        <v/>
      </c>
      <c r="T144" s="95">
        <f t="shared" si="7"/>
        <v>1</v>
      </c>
    </row>
    <row r="145">
      <c r="A145" s="96">
        <v>140.0</v>
      </c>
      <c r="B145" s="97">
        <v>44687.0</v>
      </c>
      <c r="C145" s="96">
        <v>10408.0</v>
      </c>
      <c r="D145" s="98" t="s">
        <v>62</v>
      </c>
      <c r="E145" s="98" t="s">
        <v>159</v>
      </c>
      <c r="F145" s="99">
        <v>0.3215277777777778</v>
      </c>
      <c r="G145" s="102"/>
      <c r="H145" s="101"/>
      <c r="I145" s="92" t="str">
        <f>IFERROR(VLOOKUP(D145,'Công T5'!$C$7:$F$89,4,0),"")</f>
        <v>ĐT</v>
      </c>
      <c r="J145" s="92">
        <f t="shared" si="8"/>
        <v>0.3215277778</v>
      </c>
      <c r="K145" s="92">
        <f t="shared" si="1"/>
        <v>0.7111111111</v>
      </c>
      <c r="L145" s="92" t="str">
        <f>IFERROR(VLOOKUP(D145,'Công T5'!$C$7:$F$89,2,0),"")</f>
        <v/>
      </c>
      <c r="M145" s="92" t="str">
        <f>IFERROR(VLOOKUP(D145,'Công T5'!$C$7:$F$89,3,0),"")</f>
        <v/>
      </c>
      <c r="N145" s="92">
        <f t="shared" si="9"/>
        <v>0.3333333333</v>
      </c>
      <c r="O145" s="92">
        <f t="shared" si="2"/>
        <v>0.7083333333</v>
      </c>
      <c r="P145" s="94">
        <f t="shared" si="3"/>
        <v>0.5</v>
      </c>
      <c r="Q145" s="94">
        <f t="shared" si="4"/>
        <v>0.5</v>
      </c>
      <c r="R145" s="95">
        <f t="shared" si="5"/>
        <v>1</v>
      </c>
      <c r="S145" s="95">
        <f t="shared" si="6"/>
        <v>0</v>
      </c>
      <c r="T145" s="95">
        <f t="shared" si="7"/>
        <v>0</v>
      </c>
    </row>
    <row r="146">
      <c r="A146" s="96">
        <v>141.0</v>
      </c>
      <c r="B146" s="97">
        <v>44687.0</v>
      </c>
      <c r="C146" s="96">
        <v>10408.0</v>
      </c>
      <c r="D146" s="98" t="s">
        <v>62</v>
      </c>
      <c r="E146" s="98" t="s">
        <v>159</v>
      </c>
      <c r="F146" s="99">
        <v>0.7111111111111111</v>
      </c>
      <c r="G146" s="102"/>
      <c r="H146" s="101"/>
      <c r="I146" s="92" t="str">
        <f>IFERROR(VLOOKUP(D146,'Công T5'!$C$7:$F$89,4,0),"")</f>
        <v>ĐT</v>
      </c>
      <c r="J146" s="92">
        <f t="shared" si="8"/>
        <v>0.7111111111</v>
      </c>
      <c r="K146" s="92" t="str">
        <f t="shared" si="1"/>
        <v/>
      </c>
      <c r="L146" s="92" t="str">
        <f>IFERROR(VLOOKUP(D146,'Công T5'!$C$7:$F$89,2,0),"")</f>
        <v/>
      </c>
      <c r="M146" s="92" t="str">
        <f>IFERROR(VLOOKUP(D146,'Công T5'!$C$7:$F$89,3,0),"")</f>
        <v/>
      </c>
      <c r="N146" s="92">
        <f t="shared" si="9"/>
        <v>0.7111111111</v>
      </c>
      <c r="O146" s="92" t="str">
        <f t="shared" si="2"/>
        <v/>
      </c>
      <c r="P146" s="94">
        <f t="shared" si="3"/>
        <v>0</v>
      </c>
      <c r="Q146" s="94" t="str">
        <f t="shared" si="4"/>
        <v/>
      </c>
      <c r="R146" s="95">
        <f t="shared" si="5"/>
        <v>0.5</v>
      </c>
      <c r="S146" s="95" t="str">
        <f t="shared" si="6"/>
        <v/>
      </c>
      <c r="T146" s="95">
        <f t="shared" si="7"/>
        <v>1</v>
      </c>
    </row>
    <row r="147">
      <c r="A147" s="96">
        <v>142.0</v>
      </c>
      <c r="B147" s="97">
        <v>44688.0</v>
      </c>
      <c r="C147" s="96">
        <v>10408.0</v>
      </c>
      <c r="D147" s="98" t="s">
        <v>62</v>
      </c>
      <c r="E147" s="98" t="s">
        <v>159</v>
      </c>
      <c r="F147" s="99">
        <v>0.3236111111111111</v>
      </c>
      <c r="G147" s="102"/>
      <c r="H147" s="101"/>
      <c r="I147" s="92" t="str">
        <f>IFERROR(VLOOKUP(D147,'Công T5'!$C$7:$F$89,4,0),"")</f>
        <v>ĐT</v>
      </c>
      <c r="J147" s="92">
        <f t="shared" si="8"/>
        <v>0.3236111111</v>
      </c>
      <c r="K147" s="92">
        <f t="shared" si="1"/>
        <v>0.7097222222</v>
      </c>
      <c r="L147" s="92" t="str">
        <f>IFERROR(VLOOKUP(D147,'Công T5'!$C$7:$F$89,2,0),"")</f>
        <v/>
      </c>
      <c r="M147" s="92" t="str">
        <f>IFERROR(VLOOKUP(D147,'Công T5'!$C$7:$F$89,3,0),"")</f>
        <v/>
      </c>
      <c r="N147" s="92">
        <f t="shared" si="9"/>
        <v>0.3333333333</v>
      </c>
      <c r="O147" s="92">
        <f t="shared" si="2"/>
        <v>0.7083333333</v>
      </c>
      <c r="P147" s="94">
        <f t="shared" si="3"/>
        <v>0.5</v>
      </c>
      <c r="Q147" s="94">
        <f t="shared" si="4"/>
        <v>0.5</v>
      </c>
      <c r="R147" s="95">
        <f t="shared" si="5"/>
        <v>1</v>
      </c>
      <c r="S147" s="95">
        <f t="shared" si="6"/>
        <v>0</v>
      </c>
      <c r="T147" s="95">
        <f t="shared" si="7"/>
        <v>0</v>
      </c>
    </row>
    <row r="148">
      <c r="A148" s="96">
        <v>143.0</v>
      </c>
      <c r="B148" s="97">
        <v>44688.0</v>
      </c>
      <c r="C148" s="96">
        <v>10408.0</v>
      </c>
      <c r="D148" s="98" t="s">
        <v>62</v>
      </c>
      <c r="E148" s="98" t="s">
        <v>159</v>
      </c>
      <c r="F148" s="99">
        <v>0.7097222222222223</v>
      </c>
      <c r="G148" s="102"/>
      <c r="H148" s="101"/>
      <c r="I148" s="92" t="str">
        <f>IFERROR(VLOOKUP(D148,'Công T5'!$C$7:$F$89,4,0),"")</f>
        <v>ĐT</v>
      </c>
      <c r="J148" s="92">
        <f t="shared" si="8"/>
        <v>0.7097222222</v>
      </c>
      <c r="K148" s="92" t="str">
        <f t="shared" si="1"/>
        <v/>
      </c>
      <c r="L148" s="92" t="str">
        <f>IFERROR(VLOOKUP(D148,'Công T5'!$C$7:$F$89,2,0),"")</f>
        <v/>
      </c>
      <c r="M148" s="92" t="str">
        <f>IFERROR(VLOOKUP(D148,'Công T5'!$C$7:$F$89,3,0),"")</f>
        <v/>
      </c>
      <c r="N148" s="92">
        <f t="shared" si="9"/>
        <v>0.7097222222</v>
      </c>
      <c r="O148" s="92" t="str">
        <f t="shared" si="2"/>
        <v/>
      </c>
      <c r="P148" s="94">
        <f t="shared" si="3"/>
        <v>0</v>
      </c>
      <c r="Q148" s="94" t="str">
        <f t="shared" si="4"/>
        <v/>
      </c>
      <c r="R148" s="95">
        <f t="shared" si="5"/>
        <v>0.5</v>
      </c>
      <c r="S148" s="95" t="str">
        <f t="shared" si="6"/>
        <v/>
      </c>
      <c r="T148" s="95">
        <f t="shared" si="7"/>
        <v>1</v>
      </c>
    </row>
    <row r="149">
      <c r="A149" s="96">
        <v>144.0</v>
      </c>
      <c r="B149" s="103">
        <v>44690.0</v>
      </c>
      <c r="C149" s="96">
        <v>10408.0</v>
      </c>
      <c r="D149" s="98" t="s">
        <v>62</v>
      </c>
      <c r="E149" s="98" t="s">
        <v>159</v>
      </c>
      <c r="F149" s="99">
        <v>0.32013888888888886</v>
      </c>
      <c r="G149" s="102"/>
      <c r="H149" s="101"/>
      <c r="I149" s="92" t="str">
        <f>IFERROR(VLOOKUP(D149,'Công T5'!$C$7:$F$89,4,0),"")</f>
        <v>ĐT</v>
      </c>
      <c r="J149" s="92">
        <f t="shared" si="8"/>
        <v>0.3201388889</v>
      </c>
      <c r="K149" s="92">
        <f t="shared" si="1"/>
        <v>0.7111111111</v>
      </c>
      <c r="L149" s="92" t="str">
        <f>IFERROR(VLOOKUP(D149,'Công T5'!$C$7:$F$89,2,0),"")</f>
        <v/>
      </c>
      <c r="M149" s="92" t="str">
        <f>IFERROR(VLOOKUP(D149,'Công T5'!$C$7:$F$89,3,0),"")</f>
        <v/>
      </c>
      <c r="N149" s="92">
        <f t="shared" si="9"/>
        <v>0.3333333333</v>
      </c>
      <c r="O149" s="92">
        <f t="shared" si="2"/>
        <v>0.7083333333</v>
      </c>
      <c r="P149" s="94">
        <f t="shared" si="3"/>
        <v>0.5</v>
      </c>
      <c r="Q149" s="94">
        <f t="shared" si="4"/>
        <v>0.5</v>
      </c>
      <c r="R149" s="95">
        <f t="shared" si="5"/>
        <v>1</v>
      </c>
      <c r="S149" s="95">
        <f t="shared" si="6"/>
        <v>0</v>
      </c>
      <c r="T149" s="95">
        <f t="shared" si="7"/>
        <v>0</v>
      </c>
    </row>
    <row r="150">
      <c r="A150" s="96">
        <v>145.0</v>
      </c>
      <c r="B150" s="97">
        <v>44690.0</v>
      </c>
      <c r="C150" s="96">
        <v>10408.0</v>
      </c>
      <c r="D150" s="98" t="s">
        <v>62</v>
      </c>
      <c r="E150" s="98" t="s">
        <v>159</v>
      </c>
      <c r="F150" s="99">
        <v>0.7111111111111111</v>
      </c>
      <c r="G150" s="102"/>
      <c r="H150" s="101"/>
      <c r="I150" s="92" t="str">
        <f>IFERROR(VLOOKUP(D150,'Công T5'!$C$7:$F$89,4,0),"")</f>
        <v>ĐT</v>
      </c>
      <c r="J150" s="92">
        <f t="shared" si="8"/>
        <v>0.7111111111</v>
      </c>
      <c r="K150" s="92" t="str">
        <f t="shared" si="1"/>
        <v/>
      </c>
      <c r="L150" s="92" t="str">
        <f>IFERROR(VLOOKUP(D150,'Công T5'!$C$7:$F$89,2,0),"")</f>
        <v/>
      </c>
      <c r="M150" s="92" t="str">
        <f>IFERROR(VLOOKUP(D150,'Công T5'!$C$7:$F$89,3,0),"")</f>
        <v/>
      </c>
      <c r="N150" s="92">
        <f t="shared" si="9"/>
        <v>0.7111111111</v>
      </c>
      <c r="O150" s="92" t="str">
        <f t="shared" si="2"/>
        <v/>
      </c>
      <c r="P150" s="94">
        <f t="shared" si="3"/>
        <v>0</v>
      </c>
      <c r="Q150" s="94" t="str">
        <f t="shared" si="4"/>
        <v/>
      </c>
      <c r="R150" s="95">
        <f t="shared" si="5"/>
        <v>0.5</v>
      </c>
      <c r="S150" s="95" t="str">
        <f t="shared" si="6"/>
        <v/>
      </c>
      <c r="T150" s="95">
        <f t="shared" si="7"/>
        <v>1</v>
      </c>
    </row>
    <row r="151">
      <c r="A151" s="96">
        <v>146.0</v>
      </c>
      <c r="B151" s="97">
        <v>44691.0</v>
      </c>
      <c r="C151" s="96">
        <v>10408.0</v>
      </c>
      <c r="D151" s="98" t="s">
        <v>62</v>
      </c>
      <c r="E151" s="98" t="s">
        <v>159</v>
      </c>
      <c r="F151" s="99">
        <v>0.32222222222222224</v>
      </c>
      <c r="G151" s="102"/>
      <c r="H151" s="101"/>
      <c r="I151" s="92" t="str">
        <f>IFERROR(VLOOKUP(D151,'Công T5'!$C$7:$F$89,4,0),"")</f>
        <v>ĐT</v>
      </c>
      <c r="J151" s="92">
        <f t="shared" si="8"/>
        <v>0.3222222222</v>
      </c>
      <c r="K151" s="92">
        <f t="shared" si="1"/>
        <v>0.7145833333</v>
      </c>
      <c r="L151" s="92" t="str">
        <f>IFERROR(VLOOKUP(D151,'Công T5'!$C$7:$F$89,2,0),"")</f>
        <v/>
      </c>
      <c r="M151" s="92" t="str">
        <f>IFERROR(VLOOKUP(D151,'Công T5'!$C$7:$F$89,3,0),"")</f>
        <v/>
      </c>
      <c r="N151" s="92">
        <f t="shared" si="9"/>
        <v>0.3333333333</v>
      </c>
      <c r="O151" s="92">
        <f t="shared" si="2"/>
        <v>0.7083333333</v>
      </c>
      <c r="P151" s="94">
        <f t="shared" si="3"/>
        <v>0.5</v>
      </c>
      <c r="Q151" s="94">
        <f t="shared" si="4"/>
        <v>0.5</v>
      </c>
      <c r="R151" s="95">
        <f t="shared" si="5"/>
        <v>1</v>
      </c>
      <c r="S151" s="95">
        <f t="shared" si="6"/>
        <v>0</v>
      </c>
      <c r="T151" s="95">
        <f t="shared" si="7"/>
        <v>0</v>
      </c>
    </row>
    <row r="152">
      <c r="A152" s="96">
        <v>147.0</v>
      </c>
      <c r="B152" s="97">
        <v>44691.0</v>
      </c>
      <c r="C152" s="96">
        <v>10408.0</v>
      </c>
      <c r="D152" s="98" t="s">
        <v>62</v>
      </c>
      <c r="E152" s="98" t="s">
        <v>159</v>
      </c>
      <c r="F152" s="99">
        <v>0.7145833333333333</v>
      </c>
      <c r="G152" s="102"/>
      <c r="H152" s="101"/>
      <c r="I152" s="92" t="str">
        <f>IFERROR(VLOOKUP(D152,'Công T5'!$C$7:$F$89,4,0),"")</f>
        <v>ĐT</v>
      </c>
      <c r="J152" s="92">
        <f t="shared" si="8"/>
        <v>0.7145833333</v>
      </c>
      <c r="K152" s="92" t="str">
        <f t="shared" si="1"/>
        <v/>
      </c>
      <c r="L152" s="92" t="str">
        <f>IFERROR(VLOOKUP(D152,'Công T5'!$C$7:$F$89,2,0),"")</f>
        <v/>
      </c>
      <c r="M152" s="92" t="str">
        <f>IFERROR(VLOOKUP(D152,'Công T5'!$C$7:$F$89,3,0),"")</f>
        <v/>
      </c>
      <c r="N152" s="92">
        <f t="shared" si="9"/>
        <v>0.7145833333</v>
      </c>
      <c r="O152" s="92" t="str">
        <f t="shared" si="2"/>
        <v/>
      </c>
      <c r="P152" s="94">
        <f t="shared" si="3"/>
        <v>0</v>
      </c>
      <c r="Q152" s="94" t="str">
        <f t="shared" si="4"/>
        <v/>
      </c>
      <c r="R152" s="95">
        <f t="shared" si="5"/>
        <v>0.5</v>
      </c>
      <c r="S152" s="95" t="str">
        <f t="shared" si="6"/>
        <v/>
      </c>
      <c r="T152" s="95">
        <f t="shared" si="7"/>
        <v>1</v>
      </c>
    </row>
    <row r="153">
      <c r="A153" s="96">
        <v>148.0</v>
      </c>
      <c r="B153" s="97">
        <v>44692.0</v>
      </c>
      <c r="C153" s="96">
        <v>10408.0</v>
      </c>
      <c r="D153" s="98" t="s">
        <v>62</v>
      </c>
      <c r="E153" s="98" t="s">
        <v>159</v>
      </c>
      <c r="F153" s="99">
        <v>0.32083333333333336</v>
      </c>
      <c r="G153" s="102"/>
      <c r="H153" s="101"/>
      <c r="I153" s="92" t="str">
        <f>IFERROR(VLOOKUP(D153,'Công T5'!$C$7:$F$89,4,0),"")</f>
        <v>ĐT</v>
      </c>
      <c r="J153" s="92">
        <f t="shared" si="8"/>
        <v>0.3208333333</v>
      </c>
      <c r="K153" s="92">
        <f t="shared" si="1"/>
        <v>0.7180555556</v>
      </c>
      <c r="L153" s="92" t="str">
        <f>IFERROR(VLOOKUP(D153,'Công T5'!$C$7:$F$89,2,0),"")</f>
        <v/>
      </c>
      <c r="M153" s="92" t="str">
        <f>IFERROR(VLOOKUP(D153,'Công T5'!$C$7:$F$89,3,0),"")</f>
        <v/>
      </c>
      <c r="N153" s="92">
        <f t="shared" si="9"/>
        <v>0.3333333333</v>
      </c>
      <c r="O153" s="92">
        <f t="shared" si="2"/>
        <v>0.7083333333</v>
      </c>
      <c r="P153" s="94">
        <f t="shared" si="3"/>
        <v>0.5</v>
      </c>
      <c r="Q153" s="94">
        <f t="shared" si="4"/>
        <v>0.5</v>
      </c>
      <c r="R153" s="95">
        <f t="shared" si="5"/>
        <v>1</v>
      </c>
      <c r="S153" s="95">
        <f t="shared" si="6"/>
        <v>0</v>
      </c>
      <c r="T153" s="95">
        <f t="shared" si="7"/>
        <v>0</v>
      </c>
    </row>
    <row r="154">
      <c r="A154" s="96">
        <v>149.0</v>
      </c>
      <c r="B154" s="97">
        <v>44692.0</v>
      </c>
      <c r="C154" s="96">
        <v>10408.0</v>
      </c>
      <c r="D154" s="98" t="s">
        <v>62</v>
      </c>
      <c r="E154" s="98" t="s">
        <v>159</v>
      </c>
      <c r="F154" s="99">
        <v>0.7180555555555556</v>
      </c>
      <c r="G154" s="102"/>
      <c r="H154" s="101"/>
      <c r="I154" s="92" t="str">
        <f>IFERROR(VLOOKUP(D154,'Công T5'!$C$7:$F$89,4,0),"")</f>
        <v>ĐT</v>
      </c>
      <c r="J154" s="92">
        <f t="shared" si="8"/>
        <v>0.7180555556</v>
      </c>
      <c r="K154" s="92" t="str">
        <f t="shared" si="1"/>
        <v/>
      </c>
      <c r="L154" s="92" t="str">
        <f>IFERROR(VLOOKUP(D154,'Công T5'!$C$7:$F$89,2,0),"")</f>
        <v/>
      </c>
      <c r="M154" s="92" t="str">
        <f>IFERROR(VLOOKUP(D154,'Công T5'!$C$7:$F$89,3,0),"")</f>
        <v/>
      </c>
      <c r="N154" s="92">
        <f t="shared" si="9"/>
        <v>0.7180555556</v>
      </c>
      <c r="O154" s="92" t="str">
        <f t="shared" si="2"/>
        <v/>
      </c>
      <c r="P154" s="94">
        <f t="shared" si="3"/>
        <v>0</v>
      </c>
      <c r="Q154" s="94" t="str">
        <f t="shared" si="4"/>
        <v/>
      </c>
      <c r="R154" s="95">
        <f t="shared" si="5"/>
        <v>0.5</v>
      </c>
      <c r="S154" s="95" t="str">
        <f t="shared" si="6"/>
        <v/>
      </c>
      <c r="T154" s="95">
        <f t="shared" si="7"/>
        <v>1</v>
      </c>
    </row>
    <row r="155">
      <c r="A155" s="96">
        <v>150.0</v>
      </c>
      <c r="B155" s="97">
        <v>44693.0</v>
      </c>
      <c r="C155" s="96">
        <v>10408.0</v>
      </c>
      <c r="D155" s="98" t="s">
        <v>62</v>
      </c>
      <c r="E155" s="98" t="s">
        <v>159</v>
      </c>
      <c r="F155" s="99">
        <v>0.32222222222222224</v>
      </c>
      <c r="G155" s="102"/>
      <c r="H155" s="101"/>
      <c r="I155" s="92" t="str">
        <f>IFERROR(VLOOKUP(D155,'Công T5'!$C$7:$F$89,4,0),"")</f>
        <v>ĐT</v>
      </c>
      <c r="J155" s="92">
        <f t="shared" si="8"/>
        <v>0.3222222222</v>
      </c>
      <c r="K155" s="92">
        <f t="shared" si="1"/>
        <v>0.7111111111</v>
      </c>
      <c r="L155" s="92" t="str">
        <f>IFERROR(VLOOKUP(D155,'Công T5'!$C$7:$F$89,2,0),"")</f>
        <v/>
      </c>
      <c r="M155" s="92" t="str">
        <f>IFERROR(VLOOKUP(D155,'Công T5'!$C$7:$F$89,3,0),"")</f>
        <v/>
      </c>
      <c r="N155" s="92">
        <f t="shared" si="9"/>
        <v>0.3333333333</v>
      </c>
      <c r="O155" s="92">
        <f t="shared" si="2"/>
        <v>0.7083333333</v>
      </c>
      <c r="P155" s="94">
        <f t="shared" si="3"/>
        <v>0.5</v>
      </c>
      <c r="Q155" s="94">
        <f t="shared" si="4"/>
        <v>0.5</v>
      </c>
      <c r="R155" s="95">
        <f t="shared" si="5"/>
        <v>1</v>
      </c>
      <c r="S155" s="95">
        <f t="shared" si="6"/>
        <v>0</v>
      </c>
      <c r="T155" s="95">
        <f t="shared" si="7"/>
        <v>0</v>
      </c>
    </row>
    <row r="156">
      <c r="A156" s="96">
        <v>151.0</v>
      </c>
      <c r="B156" s="97">
        <v>44693.0</v>
      </c>
      <c r="C156" s="96">
        <v>10408.0</v>
      </c>
      <c r="D156" s="98" t="s">
        <v>62</v>
      </c>
      <c r="E156" s="98" t="s">
        <v>159</v>
      </c>
      <c r="F156" s="99">
        <v>0.7111111111111111</v>
      </c>
      <c r="G156" s="102"/>
      <c r="H156" s="101"/>
      <c r="I156" s="92" t="str">
        <f>IFERROR(VLOOKUP(D156,'Công T5'!$C$7:$F$89,4,0),"")</f>
        <v>ĐT</v>
      </c>
      <c r="J156" s="92">
        <f t="shared" si="8"/>
        <v>0.7111111111</v>
      </c>
      <c r="K156" s="92" t="str">
        <f t="shared" si="1"/>
        <v/>
      </c>
      <c r="L156" s="92" t="str">
        <f>IFERROR(VLOOKUP(D156,'Công T5'!$C$7:$F$89,2,0),"")</f>
        <v/>
      </c>
      <c r="M156" s="92" t="str">
        <f>IFERROR(VLOOKUP(D156,'Công T5'!$C$7:$F$89,3,0),"")</f>
        <v/>
      </c>
      <c r="N156" s="92">
        <f t="shared" si="9"/>
        <v>0.7111111111</v>
      </c>
      <c r="O156" s="92" t="str">
        <f t="shared" si="2"/>
        <v/>
      </c>
      <c r="P156" s="94">
        <f t="shared" si="3"/>
        <v>0</v>
      </c>
      <c r="Q156" s="94" t="str">
        <f t="shared" si="4"/>
        <v/>
      </c>
      <c r="R156" s="95">
        <f t="shared" si="5"/>
        <v>0.5</v>
      </c>
      <c r="S156" s="95" t="str">
        <f t="shared" si="6"/>
        <v/>
      </c>
      <c r="T156" s="95">
        <f t="shared" si="7"/>
        <v>1</v>
      </c>
    </row>
    <row r="157">
      <c r="A157" s="96">
        <v>152.0</v>
      </c>
      <c r="B157" s="103">
        <v>44694.0</v>
      </c>
      <c r="C157" s="96">
        <v>10408.0</v>
      </c>
      <c r="D157" s="98" t="s">
        <v>62</v>
      </c>
      <c r="E157" s="98" t="s">
        <v>159</v>
      </c>
      <c r="F157" s="99">
        <v>0.32083333333333336</v>
      </c>
      <c r="G157" s="102"/>
      <c r="H157" s="101"/>
      <c r="I157" s="92" t="str">
        <f>IFERROR(VLOOKUP(D157,'Công T5'!$C$7:$F$89,4,0),"")</f>
        <v>ĐT</v>
      </c>
      <c r="J157" s="92">
        <f t="shared" si="8"/>
        <v>0.3208333333</v>
      </c>
      <c r="K157" s="92">
        <f t="shared" si="1"/>
        <v>0.7111111111</v>
      </c>
      <c r="L157" s="92" t="str">
        <f>IFERROR(VLOOKUP(D157,'Công T5'!$C$7:$F$89,2,0),"")</f>
        <v/>
      </c>
      <c r="M157" s="92" t="str">
        <f>IFERROR(VLOOKUP(D157,'Công T5'!$C$7:$F$89,3,0),"")</f>
        <v/>
      </c>
      <c r="N157" s="92">
        <f t="shared" si="9"/>
        <v>0.3333333333</v>
      </c>
      <c r="O157" s="92">
        <f t="shared" si="2"/>
        <v>0.7083333333</v>
      </c>
      <c r="P157" s="94">
        <f t="shared" si="3"/>
        <v>0.5</v>
      </c>
      <c r="Q157" s="94">
        <f t="shared" si="4"/>
        <v>0.5</v>
      </c>
      <c r="R157" s="95">
        <f t="shared" si="5"/>
        <v>1</v>
      </c>
      <c r="S157" s="95">
        <f t="shared" si="6"/>
        <v>0</v>
      </c>
      <c r="T157" s="95">
        <f t="shared" si="7"/>
        <v>0</v>
      </c>
    </row>
    <row r="158">
      <c r="A158" s="96">
        <v>153.0</v>
      </c>
      <c r="B158" s="97">
        <v>44694.0</v>
      </c>
      <c r="C158" s="96">
        <v>10408.0</v>
      </c>
      <c r="D158" s="98" t="s">
        <v>62</v>
      </c>
      <c r="E158" s="98" t="s">
        <v>159</v>
      </c>
      <c r="F158" s="99">
        <v>0.7111111111111111</v>
      </c>
      <c r="G158" s="102"/>
      <c r="H158" s="101"/>
      <c r="I158" s="92" t="str">
        <f>IFERROR(VLOOKUP(D158,'Công T5'!$C$7:$F$89,4,0),"")</f>
        <v>ĐT</v>
      </c>
      <c r="J158" s="92">
        <f t="shared" si="8"/>
        <v>0.7111111111</v>
      </c>
      <c r="K158" s="92" t="str">
        <f t="shared" si="1"/>
        <v/>
      </c>
      <c r="L158" s="92" t="str">
        <f>IFERROR(VLOOKUP(D158,'Công T5'!$C$7:$F$89,2,0),"")</f>
        <v/>
      </c>
      <c r="M158" s="92" t="str">
        <f>IFERROR(VLOOKUP(D158,'Công T5'!$C$7:$F$89,3,0),"")</f>
        <v/>
      </c>
      <c r="N158" s="92">
        <f t="shared" si="9"/>
        <v>0.7111111111</v>
      </c>
      <c r="O158" s="92" t="str">
        <f t="shared" si="2"/>
        <v/>
      </c>
      <c r="P158" s="94">
        <f t="shared" si="3"/>
        <v>0</v>
      </c>
      <c r="Q158" s="94" t="str">
        <f t="shared" si="4"/>
        <v/>
      </c>
      <c r="R158" s="95">
        <f t="shared" si="5"/>
        <v>0.5</v>
      </c>
      <c r="S158" s="95" t="str">
        <f t="shared" si="6"/>
        <v/>
      </c>
      <c r="T158" s="95">
        <f t="shared" si="7"/>
        <v>1</v>
      </c>
    </row>
    <row r="159">
      <c r="A159" s="96">
        <v>154.0</v>
      </c>
      <c r="B159" s="97">
        <v>44697.0</v>
      </c>
      <c r="C159" s="96">
        <v>10408.0</v>
      </c>
      <c r="D159" s="98" t="s">
        <v>62</v>
      </c>
      <c r="E159" s="98" t="s">
        <v>159</v>
      </c>
      <c r="F159" s="99">
        <v>0.32222222222222224</v>
      </c>
      <c r="G159" s="102"/>
      <c r="H159" s="101"/>
      <c r="I159" s="92" t="str">
        <f>IFERROR(VLOOKUP(D159,'Công T5'!$C$7:$F$89,4,0),"")</f>
        <v>ĐT</v>
      </c>
      <c r="J159" s="92">
        <f t="shared" si="8"/>
        <v>0.3222222222</v>
      </c>
      <c r="K159" s="92">
        <f t="shared" si="1"/>
        <v>0.7173611111</v>
      </c>
      <c r="L159" s="92" t="str">
        <f>IFERROR(VLOOKUP(D159,'Công T5'!$C$7:$F$89,2,0),"")</f>
        <v/>
      </c>
      <c r="M159" s="92" t="str">
        <f>IFERROR(VLOOKUP(D159,'Công T5'!$C$7:$F$89,3,0),"")</f>
        <v/>
      </c>
      <c r="N159" s="92">
        <f t="shared" si="9"/>
        <v>0.3333333333</v>
      </c>
      <c r="O159" s="92">
        <f t="shared" si="2"/>
        <v>0.7083333333</v>
      </c>
      <c r="P159" s="94">
        <f t="shared" si="3"/>
        <v>0.5</v>
      </c>
      <c r="Q159" s="94">
        <f t="shared" si="4"/>
        <v>0.5</v>
      </c>
      <c r="R159" s="95">
        <f t="shared" si="5"/>
        <v>1</v>
      </c>
      <c r="S159" s="95">
        <f t="shared" si="6"/>
        <v>0</v>
      </c>
      <c r="T159" s="95">
        <f t="shared" si="7"/>
        <v>0</v>
      </c>
    </row>
    <row r="160">
      <c r="A160" s="96">
        <v>155.0</v>
      </c>
      <c r="B160" s="97">
        <v>44697.0</v>
      </c>
      <c r="C160" s="96">
        <v>10408.0</v>
      </c>
      <c r="D160" s="98" t="s">
        <v>62</v>
      </c>
      <c r="E160" s="98" t="s">
        <v>159</v>
      </c>
      <c r="F160" s="99">
        <v>0.7173611111111111</v>
      </c>
      <c r="G160" s="102"/>
      <c r="H160" s="101"/>
      <c r="I160" s="92" t="str">
        <f>IFERROR(VLOOKUP(D160,'Công T5'!$C$7:$F$89,4,0),"")</f>
        <v>ĐT</v>
      </c>
      <c r="J160" s="92">
        <f t="shared" si="8"/>
        <v>0.7173611111</v>
      </c>
      <c r="K160" s="92" t="str">
        <f t="shared" si="1"/>
        <v/>
      </c>
      <c r="L160" s="92" t="str">
        <f>IFERROR(VLOOKUP(D160,'Công T5'!$C$7:$F$89,2,0),"")</f>
        <v/>
      </c>
      <c r="M160" s="92" t="str">
        <f>IFERROR(VLOOKUP(D160,'Công T5'!$C$7:$F$89,3,0),"")</f>
        <v/>
      </c>
      <c r="N160" s="92">
        <f t="shared" si="9"/>
        <v>0.7173611111</v>
      </c>
      <c r="O160" s="92" t="str">
        <f t="shared" si="2"/>
        <v/>
      </c>
      <c r="P160" s="94">
        <f t="shared" si="3"/>
        <v>0</v>
      </c>
      <c r="Q160" s="94" t="str">
        <f t="shared" si="4"/>
        <v/>
      </c>
      <c r="R160" s="95">
        <f t="shared" si="5"/>
        <v>0.5</v>
      </c>
      <c r="S160" s="95" t="str">
        <f t="shared" si="6"/>
        <v/>
      </c>
      <c r="T160" s="95">
        <f t="shared" si="7"/>
        <v>1</v>
      </c>
    </row>
    <row r="161">
      <c r="A161" s="96">
        <v>156.0</v>
      </c>
      <c r="B161" s="97">
        <v>44698.0</v>
      </c>
      <c r="C161" s="96">
        <v>10408.0</v>
      </c>
      <c r="D161" s="98" t="s">
        <v>62</v>
      </c>
      <c r="E161" s="98" t="s">
        <v>159</v>
      </c>
      <c r="F161" s="99">
        <v>0.32013888888888886</v>
      </c>
      <c r="G161" s="102"/>
      <c r="H161" s="101"/>
      <c r="I161" s="92" t="str">
        <f>IFERROR(VLOOKUP(D161,'Công T5'!$C$7:$F$89,4,0),"")</f>
        <v>ĐT</v>
      </c>
      <c r="J161" s="92">
        <f t="shared" si="8"/>
        <v>0.3201388889</v>
      </c>
      <c r="K161" s="92">
        <f t="shared" si="1"/>
        <v>0.7111111111</v>
      </c>
      <c r="L161" s="92" t="str">
        <f>IFERROR(VLOOKUP(D161,'Công T5'!$C$7:$F$89,2,0),"")</f>
        <v/>
      </c>
      <c r="M161" s="92" t="str">
        <f>IFERROR(VLOOKUP(D161,'Công T5'!$C$7:$F$89,3,0),"")</f>
        <v/>
      </c>
      <c r="N161" s="92">
        <f t="shared" si="9"/>
        <v>0.3333333333</v>
      </c>
      <c r="O161" s="92">
        <f t="shared" si="2"/>
        <v>0.7083333333</v>
      </c>
      <c r="P161" s="94">
        <f t="shared" si="3"/>
        <v>0.5</v>
      </c>
      <c r="Q161" s="94">
        <f t="shared" si="4"/>
        <v>0.5</v>
      </c>
      <c r="R161" s="95">
        <f t="shared" si="5"/>
        <v>1</v>
      </c>
      <c r="S161" s="95">
        <f t="shared" si="6"/>
        <v>0</v>
      </c>
      <c r="T161" s="95">
        <f t="shared" si="7"/>
        <v>0</v>
      </c>
    </row>
    <row r="162">
      <c r="A162" s="96">
        <v>157.0</v>
      </c>
      <c r="B162" s="97">
        <v>44698.0</v>
      </c>
      <c r="C162" s="96">
        <v>10408.0</v>
      </c>
      <c r="D162" s="98" t="s">
        <v>62</v>
      </c>
      <c r="E162" s="98" t="s">
        <v>159</v>
      </c>
      <c r="F162" s="99">
        <v>0.7111111111111111</v>
      </c>
      <c r="G162" s="102"/>
      <c r="H162" s="101"/>
      <c r="I162" s="92" t="str">
        <f>IFERROR(VLOOKUP(D162,'Công T5'!$C$7:$F$89,4,0),"")</f>
        <v>ĐT</v>
      </c>
      <c r="J162" s="92">
        <f t="shared" si="8"/>
        <v>0.7111111111</v>
      </c>
      <c r="K162" s="92" t="str">
        <f t="shared" si="1"/>
        <v/>
      </c>
      <c r="L162" s="92" t="str">
        <f>IFERROR(VLOOKUP(D162,'Công T5'!$C$7:$F$89,2,0),"")</f>
        <v/>
      </c>
      <c r="M162" s="92" t="str">
        <f>IFERROR(VLOOKUP(D162,'Công T5'!$C$7:$F$89,3,0),"")</f>
        <v/>
      </c>
      <c r="N162" s="92">
        <f t="shared" si="9"/>
        <v>0.7111111111</v>
      </c>
      <c r="O162" s="92" t="str">
        <f t="shared" si="2"/>
        <v/>
      </c>
      <c r="P162" s="94">
        <f t="shared" si="3"/>
        <v>0</v>
      </c>
      <c r="Q162" s="94" t="str">
        <f t="shared" si="4"/>
        <v/>
      </c>
      <c r="R162" s="95">
        <f t="shared" si="5"/>
        <v>0.5</v>
      </c>
      <c r="S162" s="95" t="str">
        <f t="shared" si="6"/>
        <v/>
      </c>
      <c r="T162" s="95">
        <f t="shared" si="7"/>
        <v>1</v>
      </c>
    </row>
    <row r="163">
      <c r="A163" s="96">
        <v>158.0</v>
      </c>
      <c r="B163" s="97">
        <v>44699.0</v>
      </c>
      <c r="C163" s="96">
        <v>10408.0</v>
      </c>
      <c r="D163" s="98" t="s">
        <v>62</v>
      </c>
      <c r="E163" s="98" t="s">
        <v>159</v>
      </c>
      <c r="F163" s="99">
        <v>0.3159722222222222</v>
      </c>
      <c r="G163" s="102"/>
      <c r="H163" s="101"/>
      <c r="I163" s="92" t="str">
        <f>IFERROR(VLOOKUP(D163,'Công T5'!$C$7:$F$89,4,0),"")</f>
        <v>ĐT</v>
      </c>
      <c r="J163" s="92">
        <f t="shared" si="8"/>
        <v>0.3159722222</v>
      </c>
      <c r="K163" s="92">
        <f t="shared" si="1"/>
        <v>0.7131944444</v>
      </c>
      <c r="L163" s="92" t="str">
        <f>IFERROR(VLOOKUP(D163,'Công T5'!$C$7:$F$89,2,0),"")</f>
        <v/>
      </c>
      <c r="M163" s="92" t="str">
        <f>IFERROR(VLOOKUP(D163,'Công T5'!$C$7:$F$89,3,0),"")</f>
        <v/>
      </c>
      <c r="N163" s="92">
        <f t="shared" si="9"/>
        <v>0.3333333333</v>
      </c>
      <c r="O163" s="92">
        <f t="shared" si="2"/>
        <v>0.7083333333</v>
      </c>
      <c r="P163" s="94">
        <f t="shared" si="3"/>
        <v>0.5</v>
      </c>
      <c r="Q163" s="94">
        <f t="shared" si="4"/>
        <v>0.5</v>
      </c>
      <c r="R163" s="95">
        <f t="shared" si="5"/>
        <v>1</v>
      </c>
      <c r="S163" s="95">
        <f t="shared" si="6"/>
        <v>0</v>
      </c>
      <c r="T163" s="95">
        <f t="shared" si="7"/>
        <v>0</v>
      </c>
    </row>
    <row r="164">
      <c r="A164" s="96">
        <v>159.0</v>
      </c>
      <c r="B164" s="97">
        <v>44699.0</v>
      </c>
      <c r="C164" s="96">
        <v>10408.0</v>
      </c>
      <c r="D164" s="98" t="s">
        <v>62</v>
      </c>
      <c r="E164" s="98" t="s">
        <v>159</v>
      </c>
      <c r="F164" s="99">
        <v>0.7131944444444445</v>
      </c>
      <c r="G164" s="102"/>
      <c r="H164" s="101"/>
      <c r="I164" s="92" t="str">
        <f>IFERROR(VLOOKUP(D164,'Công T5'!$C$7:$F$89,4,0),"")</f>
        <v>ĐT</v>
      </c>
      <c r="J164" s="92">
        <f t="shared" si="8"/>
        <v>0.7131944444</v>
      </c>
      <c r="K164" s="92" t="str">
        <f t="shared" si="1"/>
        <v/>
      </c>
      <c r="L164" s="92" t="str">
        <f>IFERROR(VLOOKUP(D164,'Công T5'!$C$7:$F$89,2,0),"")</f>
        <v/>
      </c>
      <c r="M164" s="92" t="str">
        <f>IFERROR(VLOOKUP(D164,'Công T5'!$C$7:$F$89,3,0),"")</f>
        <v/>
      </c>
      <c r="N164" s="92">
        <f t="shared" si="9"/>
        <v>0.7131944444</v>
      </c>
      <c r="O164" s="92" t="str">
        <f t="shared" si="2"/>
        <v/>
      </c>
      <c r="P164" s="94">
        <f t="shared" si="3"/>
        <v>0</v>
      </c>
      <c r="Q164" s="94" t="str">
        <f t="shared" si="4"/>
        <v/>
      </c>
      <c r="R164" s="95">
        <f t="shared" si="5"/>
        <v>0.5</v>
      </c>
      <c r="S164" s="95" t="str">
        <f t="shared" si="6"/>
        <v/>
      </c>
      <c r="T164" s="95">
        <f t="shared" si="7"/>
        <v>1</v>
      </c>
    </row>
    <row r="165">
      <c r="A165" s="96">
        <v>160.0</v>
      </c>
      <c r="B165" s="97">
        <v>44700.0</v>
      </c>
      <c r="C165" s="96">
        <v>10408.0</v>
      </c>
      <c r="D165" s="98" t="s">
        <v>62</v>
      </c>
      <c r="E165" s="98" t="s">
        <v>159</v>
      </c>
      <c r="F165" s="99">
        <v>0.32013888888888886</v>
      </c>
      <c r="G165" s="102"/>
      <c r="H165" s="101"/>
      <c r="I165" s="92" t="str">
        <f>IFERROR(VLOOKUP(D165,'Công T5'!$C$7:$F$89,4,0),"")</f>
        <v>ĐT</v>
      </c>
      <c r="J165" s="92">
        <f t="shared" si="8"/>
        <v>0.3201388889</v>
      </c>
      <c r="K165" s="92">
        <f t="shared" si="1"/>
        <v>0.7152777778</v>
      </c>
      <c r="L165" s="92" t="str">
        <f>IFERROR(VLOOKUP(D165,'Công T5'!$C$7:$F$89,2,0),"")</f>
        <v/>
      </c>
      <c r="M165" s="92" t="str">
        <f>IFERROR(VLOOKUP(D165,'Công T5'!$C$7:$F$89,3,0),"")</f>
        <v/>
      </c>
      <c r="N165" s="92">
        <f t="shared" si="9"/>
        <v>0.3333333333</v>
      </c>
      <c r="O165" s="92">
        <f t="shared" si="2"/>
        <v>0.7083333333</v>
      </c>
      <c r="P165" s="94">
        <f t="shared" si="3"/>
        <v>0.5</v>
      </c>
      <c r="Q165" s="94">
        <f t="shared" si="4"/>
        <v>0.5</v>
      </c>
      <c r="R165" s="95">
        <f t="shared" si="5"/>
        <v>1</v>
      </c>
      <c r="S165" s="95">
        <f t="shared" si="6"/>
        <v>0</v>
      </c>
      <c r="T165" s="95">
        <f t="shared" si="7"/>
        <v>0</v>
      </c>
    </row>
    <row r="166">
      <c r="A166" s="96">
        <v>161.0</v>
      </c>
      <c r="B166" s="97">
        <v>44700.0</v>
      </c>
      <c r="C166" s="96">
        <v>10408.0</v>
      </c>
      <c r="D166" s="98" t="s">
        <v>62</v>
      </c>
      <c r="E166" s="98" t="s">
        <v>159</v>
      </c>
      <c r="F166" s="99">
        <v>0.7152777777777778</v>
      </c>
      <c r="G166" s="102"/>
      <c r="H166" s="101"/>
      <c r="I166" s="92" t="str">
        <f>IFERROR(VLOOKUP(D166,'Công T5'!$C$7:$F$89,4,0),"")</f>
        <v>ĐT</v>
      </c>
      <c r="J166" s="92">
        <f t="shared" si="8"/>
        <v>0.7152777778</v>
      </c>
      <c r="K166" s="92" t="str">
        <f t="shared" si="1"/>
        <v/>
      </c>
      <c r="L166" s="92" t="str">
        <f>IFERROR(VLOOKUP(D166,'Công T5'!$C$7:$F$89,2,0),"")</f>
        <v/>
      </c>
      <c r="M166" s="92" t="str">
        <f>IFERROR(VLOOKUP(D166,'Công T5'!$C$7:$F$89,3,0),"")</f>
        <v/>
      </c>
      <c r="N166" s="92">
        <f t="shared" si="9"/>
        <v>0.7152777778</v>
      </c>
      <c r="O166" s="92" t="str">
        <f t="shared" si="2"/>
        <v/>
      </c>
      <c r="P166" s="94">
        <f t="shared" si="3"/>
        <v>0</v>
      </c>
      <c r="Q166" s="94" t="str">
        <f t="shared" si="4"/>
        <v/>
      </c>
      <c r="R166" s="95">
        <f t="shared" si="5"/>
        <v>0.5</v>
      </c>
      <c r="S166" s="95" t="str">
        <f t="shared" si="6"/>
        <v/>
      </c>
      <c r="T166" s="95">
        <f t="shared" si="7"/>
        <v>1</v>
      </c>
    </row>
    <row r="167">
      <c r="A167" s="96">
        <v>162.0</v>
      </c>
      <c r="B167" s="97">
        <v>44701.0</v>
      </c>
      <c r="C167" s="96">
        <v>10408.0</v>
      </c>
      <c r="D167" s="98" t="s">
        <v>62</v>
      </c>
      <c r="E167" s="98" t="s">
        <v>159</v>
      </c>
      <c r="F167" s="99">
        <v>0.3173611111111111</v>
      </c>
      <c r="G167" s="102"/>
      <c r="H167" s="101"/>
      <c r="I167" s="92" t="str">
        <f>IFERROR(VLOOKUP(D167,'Công T5'!$C$7:$F$89,4,0),"")</f>
        <v>ĐT</v>
      </c>
      <c r="J167" s="92">
        <f t="shared" si="8"/>
        <v>0.3173611111</v>
      </c>
      <c r="K167" s="92">
        <f t="shared" si="1"/>
        <v>0.7131944444</v>
      </c>
      <c r="L167" s="92" t="str">
        <f>IFERROR(VLOOKUP(D167,'Công T5'!$C$7:$F$89,2,0),"")</f>
        <v/>
      </c>
      <c r="M167" s="92" t="str">
        <f>IFERROR(VLOOKUP(D167,'Công T5'!$C$7:$F$89,3,0),"")</f>
        <v/>
      </c>
      <c r="N167" s="92">
        <f t="shared" si="9"/>
        <v>0.3333333333</v>
      </c>
      <c r="O167" s="92">
        <f t="shared" si="2"/>
        <v>0.7083333333</v>
      </c>
      <c r="P167" s="94">
        <f t="shared" si="3"/>
        <v>0.5</v>
      </c>
      <c r="Q167" s="94">
        <f t="shared" si="4"/>
        <v>0.5</v>
      </c>
      <c r="R167" s="95">
        <f t="shared" si="5"/>
        <v>1</v>
      </c>
      <c r="S167" s="95">
        <f t="shared" si="6"/>
        <v>0</v>
      </c>
      <c r="T167" s="95">
        <f t="shared" si="7"/>
        <v>0</v>
      </c>
    </row>
    <row r="168">
      <c r="A168" s="96">
        <v>163.0</v>
      </c>
      <c r="B168" s="97">
        <v>44701.0</v>
      </c>
      <c r="C168" s="96">
        <v>10408.0</v>
      </c>
      <c r="D168" s="98" t="s">
        <v>62</v>
      </c>
      <c r="E168" s="98" t="s">
        <v>159</v>
      </c>
      <c r="F168" s="99">
        <v>0.7131944444444445</v>
      </c>
      <c r="G168" s="102"/>
      <c r="H168" s="101"/>
      <c r="I168" s="92" t="str">
        <f>IFERROR(VLOOKUP(D168,'Công T5'!$C$7:$F$89,4,0),"")</f>
        <v>ĐT</v>
      </c>
      <c r="J168" s="92">
        <f t="shared" si="8"/>
        <v>0.7131944444</v>
      </c>
      <c r="K168" s="92" t="str">
        <f t="shared" si="1"/>
        <v/>
      </c>
      <c r="L168" s="92" t="str">
        <f>IFERROR(VLOOKUP(D168,'Công T5'!$C$7:$F$89,2,0),"")</f>
        <v/>
      </c>
      <c r="M168" s="92" t="str">
        <f>IFERROR(VLOOKUP(D168,'Công T5'!$C$7:$F$89,3,0),"")</f>
        <v/>
      </c>
      <c r="N168" s="92">
        <f t="shared" si="9"/>
        <v>0.7131944444</v>
      </c>
      <c r="O168" s="92" t="str">
        <f t="shared" si="2"/>
        <v/>
      </c>
      <c r="P168" s="94">
        <f t="shared" si="3"/>
        <v>0</v>
      </c>
      <c r="Q168" s="94" t="str">
        <f t="shared" si="4"/>
        <v/>
      </c>
      <c r="R168" s="95">
        <f t="shared" si="5"/>
        <v>0.5</v>
      </c>
      <c r="S168" s="95" t="str">
        <f t="shared" si="6"/>
        <v/>
      </c>
      <c r="T168" s="95">
        <f t="shared" si="7"/>
        <v>1</v>
      </c>
    </row>
    <row r="169">
      <c r="A169" s="96">
        <v>164.0</v>
      </c>
      <c r="B169" s="97">
        <v>44702.0</v>
      </c>
      <c r="C169" s="96">
        <v>10408.0</v>
      </c>
      <c r="D169" s="98" t="s">
        <v>62</v>
      </c>
      <c r="E169" s="98" t="s">
        <v>159</v>
      </c>
      <c r="F169" s="99">
        <v>0.3194444444444444</v>
      </c>
      <c r="G169" s="102"/>
      <c r="H169" s="101"/>
      <c r="I169" s="92" t="str">
        <f>IFERROR(VLOOKUP(D169,'Công T5'!$C$7:$F$89,4,0),"")</f>
        <v>ĐT</v>
      </c>
      <c r="J169" s="92">
        <f t="shared" si="8"/>
        <v>0.3194444444</v>
      </c>
      <c r="K169" s="92">
        <f t="shared" si="1"/>
        <v>0.7152777778</v>
      </c>
      <c r="L169" s="92" t="str">
        <f>IFERROR(VLOOKUP(D169,'Công T5'!$C$7:$F$89,2,0),"")</f>
        <v/>
      </c>
      <c r="M169" s="92" t="str">
        <f>IFERROR(VLOOKUP(D169,'Công T5'!$C$7:$F$89,3,0),"")</f>
        <v/>
      </c>
      <c r="N169" s="92">
        <f t="shared" si="9"/>
        <v>0.3333333333</v>
      </c>
      <c r="O169" s="92">
        <f t="shared" si="2"/>
        <v>0.7083333333</v>
      </c>
      <c r="P169" s="94">
        <f t="shared" si="3"/>
        <v>0.5</v>
      </c>
      <c r="Q169" s="94">
        <f t="shared" si="4"/>
        <v>0.5</v>
      </c>
      <c r="R169" s="95">
        <f t="shared" si="5"/>
        <v>1</v>
      </c>
      <c r="S169" s="95">
        <f t="shared" si="6"/>
        <v>0</v>
      </c>
      <c r="T169" s="95">
        <f t="shared" si="7"/>
        <v>0</v>
      </c>
    </row>
    <row r="170">
      <c r="A170" s="96">
        <v>165.0</v>
      </c>
      <c r="B170" s="97">
        <v>44702.0</v>
      </c>
      <c r="C170" s="96">
        <v>10408.0</v>
      </c>
      <c r="D170" s="98" t="s">
        <v>62</v>
      </c>
      <c r="E170" s="98" t="s">
        <v>159</v>
      </c>
      <c r="F170" s="99">
        <v>0.7152777777777778</v>
      </c>
      <c r="G170" s="102"/>
      <c r="H170" s="101"/>
      <c r="I170" s="92" t="str">
        <f>IFERROR(VLOOKUP(D170,'Công T5'!$C$7:$F$89,4,0),"")</f>
        <v>ĐT</v>
      </c>
      <c r="J170" s="92">
        <f t="shared" si="8"/>
        <v>0.7152777778</v>
      </c>
      <c r="K170" s="92" t="str">
        <f t="shared" si="1"/>
        <v/>
      </c>
      <c r="L170" s="92" t="str">
        <f>IFERROR(VLOOKUP(D170,'Công T5'!$C$7:$F$89,2,0),"")</f>
        <v/>
      </c>
      <c r="M170" s="92" t="str">
        <f>IFERROR(VLOOKUP(D170,'Công T5'!$C$7:$F$89,3,0),"")</f>
        <v/>
      </c>
      <c r="N170" s="92">
        <f t="shared" si="9"/>
        <v>0.7152777778</v>
      </c>
      <c r="O170" s="92" t="str">
        <f t="shared" si="2"/>
        <v/>
      </c>
      <c r="P170" s="94">
        <f t="shared" si="3"/>
        <v>0</v>
      </c>
      <c r="Q170" s="94" t="str">
        <f t="shared" si="4"/>
        <v/>
      </c>
      <c r="R170" s="95">
        <f t="shared" si="5"/>
        <v>0.5</v>
      </c>
      <c r="S170" s="95" t="str">
        <f t="shared" si="6"/>
        <v/>
      </c>
      <c r="T170" s="95">
        <f t="shared" si="7"/>
        <v>1</v>
      </c>
    </row>
    <row r="171">
      <c r="A171" s="96">
        <v>166.0</v>
      </c>
      <c r="B171" s="97">
        <v>44704.0</v>
      </c>
      <c r="C171" s="96">
        <v>10408.0</v>
      </c>
      <c r="D171" s="98" t="s">
        <v>62</v>
      </c>
      <c r="E171" s="98" t="s">
        <v>159</v>
      </c>
      <c r="F171" s="99">
        <v>0.32222222222222224</v>
      </c>
      <c r="G171" s="102"/>
      <c r="H171" s="101"/>
      <c r="I171" s="92" t="str">
        <f>IFERROR(VLOOKUP(D171,'Công T5'!$C$7:$F$89,4,0),"")</f>
        <v>ĐT</v>
      </c>
      <c r="J171" s="92">
        <f t="shared" si="8"/>
        <v>0.3222222222</v>
      </c>
      <c r="K171" s="92">
        <f t="shared" si="1"/>
        <v>0.7118055556</v>
      </c>
      <c r="L171" s="92" t="str">
        <f>IFERROR(VLOOKUP(D171,'Công T5'!$C$7:$F$89,2,0),"")</f>
        <v/>
      </c>
      <c r="M171" s="92" t="str">
        <f>IFERROR(VLOOKUP(D171,'Công T5'!$C$7:$F$89,3,0),"")</f>
        <v/>
      </c>
      <c r="N171" s="92">
        <f t="shared" si="9"/>
        <v>0.3333333333</v>
      </c>
      <c r="O171" s="92">
        <f t="shared" si="2"/>
        <v>0.7083333333</v>
      </c>
      <c r="P171" s="94">
        <f t="shared" si="3"/>
        <v>0.5</v>
      </c>
      <c r="Q171" s="94">
        <f t="shared" si="4"/>
        <v>0.5</v>
      </c>
      <c r="R171" s="95">
        <f t="shared" si="5"/>
        <v>1</v>
      </c>
      <c r="S171" s="95">
        <f t="shared" si="6"/>
        <v>0</v>
      </c>
      <c r="T171" s="95">
        <f t="shared" si="7"/>
        <v>0</v>
      </c>
    </row>
    <row r="172">
      <c r="A172" s="96">
        <v>167.0</v>
      </c>
      <c r="B172" s="97">
        <v>44704.0</v>
      </c>
      <c r="C172" s="96">
        <v>10408.0</v>
      </c>
      <c r="D172" s="98" t="s">
        <v>62</v>
      </c>
      <c r="E172" s="98" t="s">
        <v>159</v>
      </c>
      <c r="F172" s="99">
        <v>0.7118055555555556</v>
      </c>
      <c r="G172" s="102"/>
      <c r="H172" s="101"/>
      <c r="I172" s="92" t="str">
        <f>IFERROR(VLOOKUP(D172,'Công T5'!$C$7:$F$89,4,0),"")</f>
        <v>ĐT</v>
      </c>
      <c r="J172" s="92">
        <f t="shared" si="8"/>
        <v>0.7118055556</v>
      </c>
      <c r="K172" s="92" t="str">
        <f t="shared" si="1"/>
        <v/>
      </c>
      <c r="L172" s="92" t="str">
        <f>IFERROR(VLOOKUP(D172,'Công T5'!$C$7:$F$89,2,0),"")</f>
        <v/>
      </c>
      <c r="M172" s="92" t="str">
        <f>IFERROR(VLOOKUP(D172,'Công T5'!$C$7:$F$89,3,0),"")</f>
        <v/>
      </c>
      <c r="N172" s="92">
        <f t="shared" si="9"/>
        <v>0.7118055556</v>
      </c>
      <c r="O172" s="92" t="str">
        <f t="shared" si="2"/>
        <v/>
      </c>
      <c r="P172" s="94">
        <f t="shared" si="3"/>
        <v>0</v>
      </c>
      <c r="Q172" s="94" t="str">
        <f t="shared" si="4"/>
        <v/>
      </c>
      <c r="R172" s="95">
        <f t="shared" si="5"/>
        <v>0.5</v>
      </c>
      <c r="S172" s="95" t="str">
        <f t="shared" si="6"/>
        <v/>
      </c>
      <c r="T172" s="95">
        <f t="shared" si="7"/>
        <v>1</v>
      </c>
    </row>
    <row r="173">
      <c r="A173" s="96">
        <v>168.0</v>
      </c>
      <c r="B173" s="97">
        <v>44705.0</v>
      </c>
      <c r="C173" s="96">
        <v>10408.0</v>
      </c>
      <c r="D173" s="98" t="s">
        <v>62</v>
      </c>
      <c r="E173" s="98" t="s">
        <v>159</v>
      </c>
      <c r="F173" s="99">
        <v>0.3194444444444444</v>
      </c>
      <c r="G173" s="102"/>
      <c r="H173" s="101"/>
      <c r="I173" s="92" t="str">
        <f>IFERROR(VLOOKUP(D173,'Công T5'!$C$7:$F$89,4,0),"")</f>
        <v>ĐT</v>
      </c>
      <c r="J173" s="92">
        <f t="shared" si="8"/>
        <v>0.3194444444</v>
      </c>
      <c r="K173" s="92">
        <f t="shared" si="1"/>
        <v>0.7111111111</v>
      </c>
      <c r="L173" s="92" t="str">
        <f>IFERROR(VLOOKUP(D173,'Công T5'!$C$7:$F$89,2,0),"")</f>
        <v/>
      </c>
      <c r="M173" s="92" t="str">
        <f>IFERROR(VLOOKUP(D173,'Công T5'!$C$7:$F$89,3,0),"")</f>
        <v/>
      </c>
      <c r="N173" s="92">
        <f t="shared" si="9"/>
        <v>0.3333333333</v>
      </c>
      <c r="O173" s="92">
        <f t="shared" si="2"/>
        <v>0.7083333333</v>
      </c>
      <c r="P173" s="94">
        <f t="shared" si="3"/>
        <v>0.5</v>
      </c>
      <c r="Q173" s="94">
        <f t="shared" si="4"/>
        <v>0.5</v>
      </c>
      <c r="R173" s="95">
        <f t="shared" si="5"/>
        <v>1</v>
      </c>
      <c r="S173" s="95">
        <f t="shared" si="6"/>
        <v>0</v>
      </c>
      <c r="T173" s="95">
        <f t="shared" si="7"/>
        <v>0</v>
      </c>
    </row>
    <row r="174">
      <c r="A174" s="96">
        <v>169.0</v>
      </c>
      <c r="B174" s="97">
        <v>44705.0</v>
      </c>
      <c r="C174" s="96">
        <v>10408.0</v>
      </c>
      <c r="D174" s="98" t="s">
        <v>62</v>
      </c>
      <c r="E174" s="98" t="s">
        <v>159</v>
      </c>
      <c r="F174" s="99">
        <v>0.7111111111111111</v>
      </c>
      <c r="G174" s="102"/>
      <c r="H174" s="101"/>
      <c r="I174" s="92" t="str">
        <f>IFERROR(VLOOKUP(D174,'Công T5'!$C$7:$F$89,4,0),"")</f>
        <v>ĐT</v>
      </c>
      <c r="J174" s="92">
        <f t="shared" si="8"/>
        <v>0.7111111111</v>
      </c>
      <c r="K174" s="92" t="str">
        <f t="shared" si="1"/>
        <v/>
      </c>
      <c r="L174" s="92" t="str">
        <f>IFERROR(VLOOKUP(D174,'Công T5'!$C$7:$F$89,2,0),"")</f>
        <v/>
      </c>
      <c r="M174" s="92" t="str">
        <f>IFERROR(VLOOKUP(D174,'Công T5'!$C$7:$F$89,3,0),"")</f>
        <v/>
      </c>
      <c r="N174" s="92">
        <f t="shared" si="9"/>
        <v>0.7111111111</v>
      </c>
      <c r="O174" s="92" t="str">
        <f t="shared" si="2"/>
        <v/>
      </c>
      <c r="P174" s="94">
        <f t="shared" si="3"/>
        <v>0</v>
      </c>
      <c r="Q174" s="94" t="str">
        <f t="shared" si="4"/>
        <v/>
      </c>
      <c r="R174" s="95">
        <f t="shared" si="5"/>
        <v>0.5</v>
      </c>
      <c r="S174" s="95" t="str">
        <f t="shared" si="6"/>
        <v/>
      </c>
      <c r="T174" s="95">
        <f t="shared" si="7"/>
        <v>1</v>
      </c>
    </row>
    <row r="175">
      <c r="A175" s="96">
        <v>170.0</v>
      </c>
      <c r="B175" s="97">
        <v>44706.0</v>
      </c>
      <c r="C175" s="96">
        <v>10408.0</v>
      </c>
      <c r="D175" s="98" t="s">
        <v>62</v>
      </c>
      <c r="E175" s="98" t="s">
        <v>159</v>
      </c>
      <c r="F175" s="99">
        <v>0.31875</v>
      </c>
      <c r="G175" s="102"/>
      <c r="H175" s="101"/>
      <c r="I175" s="92" t="str">
        <f>IFERROR(VLOOKUP(D175,'Công T5'!$C$7:$F$89,4,0),"")</f>
        <v>ĐT</v>
      </c>
      <c r="J175" s="92">
        <f t="shared" si="8"/>
        <v>0.31875</v>
      </c>
      <c r="K175" s="92">
        <f t="shared" si="1"/>
        <v>0.7229166667</v>
      </c>
      <c r="L175" s="92" t="str">
        <f>IFERROR(VLOOKUP(D175,'Công T5'!$C$7:$F$89,2,0),"")</f>
        <v/>
      </c>
      <c r="M175" s="92" t="str">
        <f>IFERROR(VLOOKUP(D175,'Công T5'!$C$7:$F$89,3,0),"")</f>
        <v/>
      </c>
      <c r="N175" s="92">
        <f t="shared" si="9"/>
        <v>0.3333333333</v>
      </c>
      <c r="O175" s="92">
        <f t="shared" si="2"/>
        <v>0.7083333333</v>
      </c>
      <c r="P175" s="94">
        <f t="shared" si="3"/>
        <v>0.5</v>
      </c>
      <c r="Q175" s="94">
        <f t="shared" si="4"/>
        <v>0.5</v>
      </c>
      <c r="R175" s="95">
        <f t="shared" si="5"/>
        <v>1</v>
      </c>
      <c r="S175" s="95">
        <f t="shared" si="6"/>
        <v>0</v>
      </c>
      <c r="T175" s="95">
        <f t="shared" si="7"/>
        <v>0</v>
      </c>
    </row>
    <row r="176">
      <c r="A176" s="96">
        <v>171.0</v>
      </c>
      <c r="B176" s="97">
        <v>44706.0</v>
      </c>
      <c r="C176" s="96">
        <v>10408.0</v>
      </c>
      <c r="D176" s="98" t="s">
        <v>62</v>
      </c>
      <c r="E176" s="98" t="s">
        <v>159</v>
      </c>
      <c r="F176" s="99">
        <v>0.7229166666666667</v>
      </c>
      <c r="G176" s="102"/>
      <c r="H176" s="101"/>
      <c r="I176" s="92" t="str">
        <f>IFERROR(VLOOKUP(D176,'Công T5'!$C$7:$F$89,4,0),"")</f>
        <v>ĐT</v>
      </c>
      <c r="J176" s="92">
        <f t="shared" si="8"/>
        <v>0.7229166667</v>
      </c>
      <c r="K176" s="92" t="str">
        <f t="shared" si="1"/>
        <v/>
      </c>
      <c r="L176" s="92" t="str">
        <f>IFERROR(VLOOKUP(D176,'Công T5'!$C$7:$F$89,2,0),"")</f>
        <v/>
      </c>
      <c r="M176" s="92" t="str">
        <f>IFERROR(VLOOKUP(D176,'Công T5'!$C$7:$F$89,3,0),"")</f>
        <v/>
      </c>
      <c r="N176" s="92">
        <f t="shared" si="9"/>
        <v>0.7229166667</v>
      </c>
      <c r="O176" s="92" t="str">
        <f t="shared" si="2"/>
        <v/>
      </c>
      <c r="P176" s="94">
        <f t="shared" si="3"/>
        <v>0</v>
      </c>
      <c r="Q176" s="94" t="str">
        <f t="shared" si="4"/>
        <v/>
      </c>
      <c r="R176" s="95">
        <f t="shared" si="5"/>
        <v>0.5</v>
      </c>
      <c r="S176" s="95" t="str">
        <f t="shared" si="6"/>
        <v/>
      </c>
      <c r="T176" s="95">
        <f t="shared" si="7"/>
        <v>1</v>
      </c>
    </row>
    <row r="177">
      <c r="A177" s="96">
        <v>172.0</v>
      </c>
      <c r="B177" s="97">
        <v>44677.0</v>
      </c>
      <c r="C177" s="96">
        <v>10230.0</v>
      </c>
      <c r="D177" s="98" t="s">
        <v>52</v>
      </c>
      <c r="E177" s="104"/>
      <c r="F177" s="99">
        <v>0.3298611111111111</v>
      </c>
      <c r="G177" s="99">
        <v>0.6798611111111111</v>
      </c>
      <c r="H177" s="101"/>
      <c r="I177" s="92" t="str">
        <f>IFERROR(VLOOKUP(D177,'Công T5'!$C$7:$F$89,4,0),"")</f>
        <v>ĐT</v>
      </c>
      <c r="J177" s="92">
        <f t="shared" si="8"/>
        <v>0.3298611111</v>
      </c>
      <c r="K177" s="92">
        <f t="shared" si="1"/>
        <v>0.6798611111</v>
      </c>
      <c r="L177" s="92" t="str">
        <f>IFERROR(VLOOKUP(D177,'Công T5'!$C$7:$F$89,2,0),"")</f>
        <v/>
      </c>
      <c r="M177" s="92">
        <f>IFERROR(VLOOKUP(D177,'Công T5'!$C$7:$F$89,3,0),"")</f>
        <v>0.6666666667</v>
      </c>
      <c r="N177" s="92">
        <f t="shared" si="9"/>
        <v>0.3333333333</v>
      </c>
      <c r="O177" s="92">
        <f t="shared" si="2"/>
        <v>0.6798611111</v>
      </c>
      <c r="P177" s="94">
        <f t="shared" si="3"/>
        <v>0.5</v>
      </c>
      <c r="Q177" s="94">
        <f t="shared" si="4"/>
        <v>0.5</v>
      </c>
      <c r="R177" s="95">
        <f t="shared" si="5"/>
        <v>1</v>
      </c>
      <c r="S177" s="95">
        <f t="shared" si="6"/>
        <v>0</v>
      </c>
      <c r="T177" s="95">
        <f t="shared" si="7"/>
        <v>0</v>
      </c>
    </row>
    <row r="178">
      <c r="A178" s="96">
        <v>173.0</v>
      </c>
      <c r="B178" s="97">
        <v>44678.0</v>
      </c>
      <c r="C178" s="96">
        <v>10230.0</v>
      </c>
      <c r="D178" s="98" t="s">
        <v>52</v>
      </c>
      <c r="E178" s="104"/>
      <c r="F178" s="99">
        <v>0.3298611111111111</v>
      </c>
      <c r="G178" s="99">
        <v>0.6777777777777778</v>
      </c>
      <c r="H178" s="101"/>
      <c r="I178" s="92" t="str">
        <f>IFERROR(VLOOKUP(D178,'Công T5'!$C$7:$F$89,4,0),"")</f>
        <v>ĐT</v>
      </c>
      <c r="J178" s="92">
        <f t="shared" si="8"/>
        <v>0.3298611111</v>
      </c>
      <c r="K178" s="92">
        <f t="shared" si="1"/>
        <v>0.6777777778</v>
      </c>
      <c r="L178" s="92" t="str">
        <f>IFERROR(VLOOKUP(D178,'Công T5'!$C$7:$F$89,2,0),"")</f>
        <v/>
      </c>
      <c r="M178" s="92">
        <f>IFERROR(VLOOKUP(D178,'Công T5'!$C$7:$F$89,3,0),"")</f>
        <v>0.6666666667</v>
      </c>
      <c r="N178" s="92">
        <f t="shared" si="9"/>
        <v>0.3333333333</v>
      </c>
      <c r="O178" s="92">
        <f t="shared" si="2"/>
        <v>0.6777777778</v>
      </c>
      <c r="P178" s="94">
        <f t="shared" si="3"/>
        <v>0.5</v>
      </c>
      <c r="Q178" s="94">
        <f t="shared" si="4"/>
        <v>0.5</v>
      </c>
      <c r="R178" s="95">
        <f t="shared" si="5"/>
        <v>1</v>
      </c>
      <c r="S178" s="95">
        <f t="shared" si="6"/>
        <v>0</v>
      </c>
      <c r="T178" s="95">
        <f t="shared" si="7"/>
        <v>0</v>
      </c>
    </row>
    <row r="179">
      <c r="A179" s="96">
        <v>174.0</v>
      </c>
      <c r="B179" s="97">
        <v>44679.0</v>
      </c>
      <c r="C179" s="96">
        <v>10230.0</v>
      </c>
      <c r="D179" s="98" t="s">
        <v>52</v>
      </c>
      <c r="E179" s="104"/>
      <c r="F179" s="99">
        <v>0.325</v>
      </c>
      <c r="G179" s="99">
        <v>0.6777777777777778</v>
      </c>
      <c r="H179" s="101"/>
      <c r="I179" s="92" t="str">
        <f>IFERROR(VLOOKUP(D179,'Công T5'!$C$7:$F$89,4,0),"")</f>
        <v>ĐT</v>
      </c>
      <c r="J179" s="92">
        <f t="shared" si="8"/>
        <v>0.325</v>
      </c>
      <c r="K179" s="92">
        <f t="shared" si="1"/>
        <v>0.6777777778</v>
      </c>
      <c r="L179" s="92" t="str">
        <f>IFERROR(VLOOKUP(D179,'Công T5'!$C$7:$F$89,2,0),"")</f>
        <v/>
      </c>
      <c r="M179" s="92">
        <f>IFERROR(VLOOKUP(D179,'Công T5'!$C$7:$F$89,3,0),"")</f>
        <v>0.6666666667</v>
      </c>
      <c r="N179" s="92">
        <f t="shared" si="9"/>
        <v>0.3333333333</v>
      </c>
      <c r="O179" s="92">
        <f t="shared" si="2"/>
        <v>0.6777777778</v>
      </c>
      <c r="P179" s="94">
        <f t="shared" si="3"/>
        <v>0.5</v>
      </c>
      <c r="Q179" s="94">
        <f t="shared" si="4"/>
        <v>0.5</v>
      </c>
      <c r="R179" s="95">
        <f t="shared" si="5"/>
        <v>1</v>
      </c>
      <c r="S179" s="95">
        <f t="shared" si="6"/>
        <v>0</v>
      </c>
      <c r="T179" s="95">
        <f t="shared" si="7"/>
        <v>0</v>
      </c>
    </row>
    <row r="180">
      <c r="A180" s="96">
        <v>175.0</v>
      </c>
      <c r="B180" s="97">
        <v>44680.0</v>
      </c>
      <c r="C180" s="96">
        <v>10230.0</v>
      </c>
      <c r="D180" s="98" t="s">
        <v>52</v>
      </c>
      <c r="E180" s="104"/>
      <c r="F180" s="99">
        <v>0.3236111111111111</v>
      </c>
      <c r="G180" s="99">
        <v>0.6798611111111111</v>
      </c>
      <c r="H180" s="101"/>
      <c r="I180" s="92" t="str">
        <f>IFERROR(VLOOKUP(D180,'Công T5'!$C$7:$F$89,4,0),"")</f>
        <v>ĐT</v>
      </c>
      <c r="J180" s="92">
        <f t="shared" si="8"/>
        <v>0.3236111111</v>
      </c>
      <c r="K180" s="92">
        <f t="shared" si="1"/>
        <v>0.6798611111</v>
      </c>
      <c r="L180" s="92" t="str">
        <f>IFERROR(VLOOKUP(D180,'Công T5'!$C$7:$F$89,2,0),"")</f>
        <v/>
      </c>
      <c r="M180" s="92">
        <f>IFERROR(VLOOKUP(D180,'Công T5'!$C$7:$F$89,3,0),"")</f>
        <v>0.6666666667</v>
      </c>
      <c r="N180" s="92">
        <f t="shared" si="9"/>
        <v>0.3333333333</v>
      </c>
      <c r="O180" s="92">
        <f t="shared" si="2"/>
        <v>0.6798611111</v>
      </c>
      <c r="P180" s="94">
        <f t="shared" si="3"/>
        <v>0.5</v>
      </c>
      <c r="Q180" s="94">
        <f t="shared" si="4"/>
        <v>0.5</v>
      </c>
      <c r="R180" s="95">
        <f t="shared" si="5"/>
        <v>1</v>
      </c>
      <c r="S180" s="95">
        <f t="shared" si="6"/>
        <v>0</v>
      </c>
      <c r="T180" s="95">
        <f t="shared" si="7"/>
        <v>0</v>
      </c>
    </row>
    <row r="181">
      <c r="A181" s="96">
        <v>176.0</v>
      </c>
      <c r="B181" s="97">
        <v>44685.0</v>
      </c>
      <c r="C181" s="96">
        <v>10230.0</v>
      </c>
      <c r="D181" s="98" t="s">
        <v>52</v>
      </c>
      <c r="E181" s="104"/>
      <c r="F181" s="99">
        <v>0.32569444444444445</v>
      </c>
      <c r="G181" s="99">
        <v>0.6777777777777778</v>
      </c>
      <c r="H181" s="101"/>
      <c r="I181" s="92" t="str">
        <f>IFERROR(VLOOKUP(D181,'Công T5'!$C$7:$F$89,4,0),"")</f>
        <v>ĐT</v>
      </c>
      <c r="J181" s="92">
        <f t="shared" si="8"/>
        <v>0.3256944444</v>
      </c>
      <c r="K181" s="92">
        <f t="shared" si="1"/>
        <v>0.6777777778</v>
      </c>
      <c r="L181" s="92" t="str">
        <f>IFERROR(VLOOKUP(D181,'Công T5'!$C$7:$F$89,2,0),"")</f>
        <v/>
      </c>
      <c r="M181" s="92">
        <f>IFERROR(VLOOKUP(D181,'Công T5'!$C$7:$F$89,3,0),"")</f>
        <v>0.6666666667</v>
      </c>
      <c r="N181" s="92">
        <f t="shared" si="9"/>
        <v>0.3333333333</v>
      </c>
      <c r="O181" s="92">
        <f t="shared" si="2"/>
        <v>0.6777777778</v>
      </c>
      <c r="P181" s="94">
        <f t="shared" si="3"/>
        <v>0.5</v>
      </c>
      <c r="Q181" s="94">
        <f t="shared" si="4"/>
        <v>0.5</v>
      </c>
      <c r="R181" s="95">
        <f t="shared" si="5"/>
        <v>1</v>
      </c>
      <c r="S181" s="95">
        <f t="shared" si="6"/>
        <v>0</v>
      </c>
      <c r="T181" s="95">
        <f t="shared" si="7"/>
        <v>0</v>
      </c>
    </row>
    <row r="182">
      <c r="A182" s="96">
        <v>177.0</v>
      </c>
      <c r="B182" s="97">
        <v>44686.0</v>
      </c>
      <c r="C182" s="96">
        <v>10230.0</v>
      </c>
      <c r="D182" s="98" t="s">
        <v>52</v>
      </c>
      <c r="E182" s="104"/>
      <c r="F182" s="99">
        <v>0.32569444444444445</v>
      </c>
      <c r="G182" s="99">
        <v>0.6708333333333333</v>
      </c>
      <c r="H182" s="101"/>
      <c r="I182" s="92" t="str">
        <f>IFERROR(VLOOKUP(D182,'Công T5'!$C$7:$F$89,4,0),"")</f>
        <v>ĐT</v>
      </c>
      <c r="J182" s="92">
        <f t="shared" si="8"/>
        <v>0.3256944444</v>
      </c>
      <c r="K182" s="92">
        <f t="shared" si="1"/>
        <v>0.6708333333</v>
      </c>
      <c r="L182" s="92" t="str">
        <f>IFERROR(VLOOKUP(D182,'Công T5'!$C$7:$F$89,2,0),"")</f>
        <v/>
      </c>
      <c r="M182" s="92">
        <f>IFERROR(VLOOKUP(D182,'Công T5'!$C$7:$F$89,3,0),"")</f>
        <v>0.6666666667</v>
      </c>
      <c r="N182" s="92">
        <f t="shared" si="9"/>
        <v>0.3333333333</v>
      </c>
      <c r="O182" s="92">
        <f t="shared" si="2"/>
        <v>0.6708333333</v>
      </c>
      <c r="P182" s="94">
        <f t="shared" si="3"/>
        <v>0.5</v>
      </c>
      <c r="Q182" s="94">
        <f t="shared" si="4"/>
        <v>0.5</v>
      </c>
      <c r="R182" s="95">
        <f t="shared" si="5"/>
        <v>1</v>
      </c>
      <c r="S182" s="95">
        <f t="shared" si="6"/>
        <v>0</v>
      </c>
      <c r="T182" s="95">
        <f t="shared" si="7"/>
        <v>0</v>
      </c>
    </row>
    <row r="183">
      <c r="A183" s="96">
        <v>178.0</v>
      </c>
      <c r="B183" s="97">
        <v>44687.0</v>
      </c>
      <c r="C183" s="96">
        <v>10230.0</v>
      </c>
      <c r="D183" s="98" t="s">
        <v>52</v>
      </c>
      <c r="E183" s="104"/>
      <c r="F183" s="99">
        <v>0.32708333333333334</v>
      </c>
      <c r="G183" s="99">
        <v>0.6819444444444445</v>
      </c>
      <c r="H183" s="101"/>
      <c r="I183" s="92" t="str">
        <f>IFERROR(VLOOKUP(D183,'Công T5'!$C$7:$F$89,4,0),"")</f>
        <v>ĐT</v>
      </c>
      <c r="J183" s="92">
        <f t="shared" si="8"/>
        <v>0.3270833333</v>
      </c>
      <c r="K183" s="92">
        <f t="shared" si="1"/>
        <v>0.6819444444</v>
      </c>
      <c r="L183" s="92" t="str">
        <f>IFERROR(VLOOKUP(D183,'Công T5'!$C$7:$F$89,2,0),"")</f>
        <v/>
      </c>
      <c r="M183" s="92">
        <f>IFERROR(VLOOKUP(D183,'Công T5'!$C$7:$F$89,3,0),"")</f>
        <v>0.6666666667</v>
      </c>
      <c r="N183" s="92">
        <f t="shared" si="9"/>
        <v>0.3333333333</v>
      </c>
      <c r="O183" s="92">
        <f t="shared" si="2"/>
        <v>0.6819444444</v>
      </c>
      <c r="P183" s="94">
        <f t="shared" si="3"/>
        <v>0.5</v>
      </c>
      <c r="Q183" s="94">
        <f t="shared" si="4"/>
        <v>0.5</v>
      </c>
      <c r="R183" s="95">
        <f t="shared" si="5"/>
        <v>1</v>
      </c>
      <c r="S183" s="95">
        <f t="shared" si="6"/>
        <v>0</v>
      </c>
      <c r="T183" s="95">
        <f t="shared" si="7"/>
        <v>0</v>
      </c>
    </row>
    <row r="184">
      <c r="A184" s="96">
        <v>179.0</v>
      </c>
      <c r="B184" s="97">
        <v>44688.0</v>
      </c>
      <c r="C184" s="96">
        <v>10230.0</v>
      </c>
      <c r="D184" s="98" t="s">
        <v>52</v>
      </c>
      <c r="E184" s="104"/>
      <c r="F184" s="99">
        <v>0.32430555555555557</v>
      </c>
      <c r="G184" s="99">
        <v>0.68125</v>
      </c>
      <c r="H184" s="101"/>
      <c r="I184" s="92" t="str">
        <f>IFERROR(VLOOKUP(D184,'Công T5'!$C$7:$F$89,4,0),"")</f>
        <v>ĐT</v>
      </c>
      <c r="J184" s="92">
        <f t="shared" si="8"/>
        <v>0.3243055556</v>
      </c>
      <c r="K184" s="92">
        <f t="shared" si="1"/>
        <v>0.68125</v>
      </c>
      <c r="L184" s="92" t="str">
        <f>IFERROR(VLOOKUP(D184,'Công T5'!$C$7:$F$89,2,0),"")</f>
        <v/>
      </c>
      <c r="M184" s="92">
        <f>IFERROR(VLOOKUP(D184,'Công T5'!$C$7:$F$89,3,0),"")</f>
        <v>0.6666666667</v>
      </c>
      <c r="N184" s="92">
        <f t="shared" si="9"/>
        <v>0.3333333333</v>
      </c>
      <c r="O184" s="92">
        <f t="shared" si="2"/>
        <v>0.68125</v>
      </c>
      <c r="P184" s="94">
        <f t="shared" si="3"/>
        <v>0.5</v>
      </c>
      <c r="Q184" s="94">
        <f t="shared" si="4"/>
        <v>0.5</v>
      </c>
      <c r="R184" s="95">
        <f t="shared" si="5"/>
        <v>1</v>
      </c>
      <c r="S184" s="95">
        <f t="shared" si="6"/>
        <v>0</v>
      </c>
      <c r="T184" s="95">
        <f t="shared" si="7"/>
        <v>0</v>
      </c>
    </row>
    <row r="185">
      <c r="A185" s="96">
        <v>180.0</v>
      </c>
      <c r="B185" s="97">
        <v>44691.0</v>
      </c>
      <c r="C185" s="96">
        <v>10230.0</v>
      </c>
      <c r="D185" s="98" t="s">
        <v>52</v>
      </c>
      <c r="E185" s="104"/>
      <c r="F185" s="99">
        <v>0.32430555555555557</v>
      </c>
      <c r="G185" s="99">
        <v>0.6819444444444445</v>
      </c>
      <c r="H185" s="101"/>
      <c r="I185" s="92" t="str">
        <f>IFERROR(VLOOKUP(D185,'Công T5'!$C$7:$F$89,4,0),"")</f>
        <v>ĐT</v>
      </c>
      <c r="J185" s="92">
        <f t="shared" si="8"/>
        <v>0.3243055556</v>
      </c>
      <c r="K185" s="92">
        <f t="shared" si="1"/>
        <v>0.6819444444</v>
      </c>
      <c r="L185" s="92" t="str">
        <f>IFERROR(VLOOKUP(D185,'Công T5'!$C$7:$F$89,2,0),"")</f>
        <v/>
      </c>
      <c r="M185" s="92">
        <f>IFERROR(VLOOKUP(D185,'Công T5'!$C$7:$F$89,3,0),"")</f>
        <v>0.6666666667</v>
      </c>
      <c r="N185" s="92">
        <f t="shared" si="9"/>
        <v>0.3333333333</v>
      </c>
      <c r="O185" s="92">
        <f t="shared" si="2"/>
        <v>0.6819444444</v>
      </c>
      <c r="P185" s="94">
        <f t="shared" si="3"/>
        <v>0.5</v>
      </c>
      <c r="Q185" s="94">
        <f t="shared" si="4"/>
        <v>0.5</v>
      </c>
      <c r="R185" s="95">
        <f t="shared" si="5"/>
        <v>1</v>
      </c>
      <c r="S185" s="95">
        <f t="shared" si="6"/>
        <v>0</v>
      </c>
      <c r="T185" s="95">
        <f t="shared" si="7"/>
        <v>0</v>
      </c>
    </row>
    <row r="186">
      <c r="A186" s="96">
        <v>181.0</v>
      </c>
      <c r="B186" s="97">
        <v>44692.0</v>
      </c>
      <c r="C186" s="96">
        <v>10230.0</v>
      </c>
      <c r="D186" s="98" t="s">
        <v>52</v>
      </c>
      <c r="E186" s="104"/>
      <c r="F186" s="99">
        <v>0.3277777777777778</v>
      </c>
      <c r="G186" s="99">
        <v>0.675</v>
      </c>
      <c r="H186" s="101"/>
      <c r="I186" s="92" t="str">
        <f>IFERROR(VLOOKUP(D186,'Công T5'!$C$7:$F$89,4,0),"")</f>
        <v>ĐT</v>
      </c>
      <c r="J186" s="92">
        <f t="shared" si="8"/>
        <v>0.3277777778</v>
      </c>
      <c r="K186" s="92">
        <f t="shared" si="1"/>
        <v>0.675</v>
      </c>
      <c r="L186" s="92" t="str">
        <f>IFERROR(VLOOKUP(D186,'Công T5'!$C$7:$F$89,2,0),"")</f>
        <v/>
      </c>
      <c r="M186" s="92">
        <f>IFERROR(VLOOKUP(D186,'Công T5'!$C$7:$F$89,3,0),"")</f>
        <v>0.6666666667</v>
      </c>
      <c r="N186" s="92">
        <f t="shared" si="9"/>
        <v>0.3333333333</v>
      </c>
      <c r="O186" s="92">
        <f t="shared" si="2"/>
        <v>0.675</v>
      </c>
      <c r="P186" s="94">
        <f t="shared" si="3"/>
        <v>0.5</v>
      </c>
      <c r="Q186" s="94">
        <f t="shared" si="4"/>
        <v>0.5</v>
      </c>
      <c r="R186" s="95">
        <f t="shared" si="5"/>
        <v>1</v>
      </c>
      <c r="S186" s="95">
        <f t="shared" si="6"/>
        <v>0</v>
      </c>
      <c r="T186" s="95">
        <f t="shared" si="7"/>
        <v>0</v>
      </c>
    </row>
    <row r="187">
      <c r="A187" s="96">
        <v>182.0</v>
      </c>
      <c r="B187" s="97">
        <v>44693.0</v>
      </c>
      <c r="C187" s="96">
        <v>10230.0</v>
      </c>
      <c r="D187" s="98" t="s">
        <v>52</v>
      </c>
      <c r="E187" s="104"/>
      <c r="F187" s="99">
        <v>0.3298611111111111</v>
      </c>
      <c r="G187" s="99">
        <v>0.6736111111111112</v>
      </c>
      <c r="H187" s="101"/>
      <c r="I187" s="92" t="str">
        <f>IFERROR(VLOOKUP(D187,'Công T5'!$C$7:$F$89,4,0),"")</f>
        <v>ĐT</v>
      </c>
      <c r="J187" s="92">
        <f t="shared" si="8"/>
        <v>0.3298611111</v>
      </c>
      <c r="K187" s="92">
        <f t="shared" si="1"/>
        <v>0.6736111111</v>
      </c>
      <c r="L187" s="92" t="str">
        <f>IFERROR(VLOOKUP(D187,'Công T5'!$C$7:$F$89,2,0),"")</f>
        <v/>
      </c>
      <c r="M187" s="92">
        <f>IFERROR(VLOOKUP(D187,'Công T5'!$C$7:$F$89,3,0),"")</f>
        <v>0.6666666667</v>
      </c>
      <c r="N187" s="92">
        <f t="shared" si="9"/>
        <v>0.3333333333</v>
      </c>
      <c r="O187" s="92">
        <f t="shared" si="2"/>
        <v>0.6736111111</v>
      </c>
      <c r="P187" s="94">
        <f t="shared" si="3"/>
        <v>0.5</v>
      </c>
      <c r="Q187" s="94">
        <f t="shared" si="4"/>
        <v>0.5</v>
      </c>
      <c r="R187" s="95">
        <f t="shared" si="5"/>
        <v>1</v>
      </c>
      <c r="S187" s="95">
        <f t="shared" si="6"/>
        <v>0</v>
      </c>
      <c r="T187" s="95">
        <f t="shared" si="7"/>
        <v>0</v>
      </c>
    </row>
    <row r="188">
      <c r="A188" s="96">
        <v>183.0</v>
      </c>
      <c r="B188" s="97">
        <v>44694.0</v>
      </c>
      <c r="C188" s="96">
        <v>10230.0</v>
      </c>
      <c r="D188" s="98" t="s">
        <v>52</v>
      </c>
      <c r="E188" s="104"/>
      <c r="F188" s="99">
        <v>0.32916666666666666</v>
      </c>
      <c r="G188" s="99">
        <v>0.675</v>
      </c>
      <c r="H188" s="101"/>
      <c r="I188" s="92" t="str">
        <f>IFERROR(VLOOKUP(D188,'Công T5'!$C$7:$F$89,4,0),"")</f>
        <v>ĐT</v>
      </c>
      <c r="J188" s="92">
        <f t="shared" si="8"/>
        <v>0.3291666667</v>
      </c>
      <c r="K188" s="92">
        <f t="shared" si="1"/>
        <v>0.675</v>
      </c>
      <c r="L188" s="92" t="str">
        <f>IFERROR(VLOOKUP(D188,'Công T5'!$C$7:$F$89,2,0),"")</f>
        <v/>
      </c>
      <c r="M188" s="92">
        <f>IFERROR(VLOOKUP(D188,'Công T5'!$C$7:$F$89,3,0),"")</f>
        <v>0.6666666667</v>
      </c>
      <c r="N188" s="92">
        <f t="shared" si="9"/>
        <v>0.3333333333</v>
      </c>
      <c r="O188" s="92">
        <f t="shared" si="2"/>
        <v>0.675</v>
      </c>
      <c r="P188" s="94">
        <f t="shared" si="3"/>
        <v>0.5</v>
      </c>
      <c r="Q188" s="94">
        <f t="shared" si="4"/>
        <v>0.5</v>
      </c>
      <c r="R188" s="95">
        <f t="shared" si="5"/>
        <v>1</v>
      </c>
      <c r="S188" s="95">
        <f t="shared" si="6"/>
        <v>0</v>
      </c>
      <c r="T188" s="95">
        <f t="shared" si="7"/>
        <v>0</v>
      </c>
    </row>
    <row r="189">
      <c r="A189" s="96">
        <v>184.0</v>
      </c>
      <c r="B189" s="97">
        <v>44695.0</v>
      </c>
      <c r="C189" s="96">
        <v>10230.0</v>
      </c>
      <c r="D189" s="98" t="s">
        <v>52</v>
      </c>
      <c r="E189" s="104"/>
      <c r="F189" s="99">
        <v>0.3284722222222222</v>
      </c>
      <c r="G189" s="99">
        <v>0.6715277777777777</v>
      </c>
      <c r="H189" s="101"/>
      <c r="I189" s="92" t="str">
        <f>IFERROR(VLOOKUP(D189,'Công T5'!$C$7:$F$89,4,0),"")</f>
        <v>ĐT</v>
      </c>
      <c r="J189" s="92">
        <f t="shared" si="8"/>
        <v>0.3284722222</v>
      </c>
      <c r="K189" s="92">
        <f t="shared" si="1"/>
        <v>0.6715277778</v>
      </c>
      <c r="L189" s="92" t="str">
        <f>IFERROR(VLOOKUP(D189,'Công T5'!$C$7:$F$89,2,0),"")</f>
        <v/>
      </c>
      <c r="M189" s="92">
        <f>IFERROR(VLOOKUP(D189,'Công T5'!$C$7:$F$89,3,0),"")</f>
        <v>0.6666666667</v>
      </c>
      <c r="N189" s="92">
        <f t="shared" si="9"/>
        <v>0.3333333333</v>
      </c>
      <c r="O189" s="92">
        <f t="shared" si="2"/>
        <v>0.6715277778</v>
      </c>
      <c r="P189" s="94">
        <f t="shared" si="3"/>
        <v>0.5</v>
      </c>
      <c r="Q189" s="94">
        <f t="shared" si="4"/>
        <v>0.5</v>
      </c>
      <c r="R189" s="95">
        <f t="shared" si="5"/>
        <v>1</v>
      </c>
      <c r="S189" s="95">
        <f t="shared" si="6"/>
        <v>0</v>
      </c>
      <c r="T189" s="95">
        <f t="shared" si="7"/>
        <v>0</v>
      </c>
    </row>
    <row r="190">
      <c r="A190" s="96">
        <v>185.0</v>
      </c>
      <c r="B190" s="97">
        <v>44696.0</v>
      </c>
      <c r="C190" s="96">
        <v>10230.0</v>
      </c>
      <c r="D190" s="98" t="s">
        <v>52</v>
      </c>
      <c r="E190" s="104"/>
      <c r="F190" s="99">
        <v>0.33125</v>
      </c>
      <c r="G190" s="99">
        <v>0.6715277777777777</v>
      </c>
      <c r="H190" s="101"/>
      <c r="I190" s="92" t="str">
        <f>IFERROR(VLOOKUP(D190,'Công T5'!$C$7:$F$89,4,0),"")</f>
        <v>ĐT</v>
      </c>
      <c r="J190" s="92">
        <f t="shared" si="8"/>
        <v>0.33125</v>
      </c>
      <c r="K190" s="92">
        <f t="shared" si="1"/>
        <v>0.6715277778</v>
      </c>
      <c r="L190" s="92" t="str">
        <f>IFERROR(VLOOKUP(D190,'Công T5'!$C$7:$F$89,2,0),"")</f>
        <v/>
      </c>
      <c r="M190" s="92">
        <f>IFERROR(VLOOKUP(D190,'Công T5'!$C$7:$F$89,3,0),"")</f>
        <v>0.6666666667</v>
      </c>
      <c r="N190" s="92">
        <f t="shared" si="9"/>
        <v>0.3333333333</v>
      </c>
      <c r="O190" s="92">
        <f t="shared" si="2"/>
        <v>0.6715277778</v>
      </c>
      <c r="P190" s="94">
        <f t="shared" si="3"/>
        <v>0.5</v>
      </c>
      <c r="Q190" s="94">
        <f t="shared" si="4"/>
        <v>0.5</v>
      </c>
      <c r="R190" s="95">
        <f t="shared" si="5"/>
        <v>1</v>
      </c>
      <c r="S190" s="95">
        <f t="shared" si="6"/>
        <v>0</v>
      </c>
      <c r="T190" s="95">
        <f t="shared" si="7"/>
        <v>0</v>
      </c>
    </row>
    <row r="191">
      <c r="A191" s="96">
        <v>186.0</v>
      </c>
      <c r="B191" s="97">
        <v>44697.0</v>
      </c>
      <c r="C191" s="96">
        <v>10230.0</v>
      </c>
      <c r="D191" s="98" t="s">
        <v>52</v>
      </c>
      <c r="E191" s="104"/>
      <c r="F191" s="99">
        <v>0.3263888888888889</v>
      </c>
      <c r="G191" s="99">
        <v>0.6770833333333334</v>
      </c>
      <c r="H191" s="101"/>
      <c r="I191" s="92" t="str">
        <f>IFERROR(VLOOKUP(D191,'Công T5'!$C$7:$F$89,4,0),"")</f>
        <v>ĐT</v>
      </c>
      <c r="J191" s="92">
        <f t="shared" si="8"/>
        <v>0.3263888889</v>
      </c>
      <c r="K191" s="92">
        <f t="shared" si="1"/>
        <v>0.6770833333</v>
      </c>
      <c r="L191" s="92" t="str">
        <f>IFERROR(VLOOKUP(D191,'Công T5'!$C$7:$F$89,2,0),"")</f>
        <v/>
      </c>
      <c r="M191" s="92">
        <f>IFERROR(VLOOKUP(D191,'Công T5'!$C$7:$F$89,3,0),"")</f>
        <v>0.6666666667</v>
      </c>
      <c r="N191" s="92">
        <f t="shared" si="9"/>
        <v>0.3333333333</v>
      </c>
      <c r="O191" s="92">
        <f t="shared" si="2"/>
        <v>0.6770833333</v>
      </c>
      <c r="P191" s="94">
        <f t="shared" si="3"/>
        <v>0.5</v>
      </c>
      <c r="Q191" s="94">
        <f t="shared" si="4"/>
        <v>0.5</v>
      </c>
      <c r="R191" s="95">
        <f t="shared" si="5"/>
        <v>1</v>
      </c>
      <c r="S191" s="95">
        <f t="shared" si="6"/>
        <v>0</v>
      </c>
      <c r="T191" s="95">
        <f t="shared" si="7"/>
        <v>0</v>
      </c>
    </row>
    <row r="192">
      <c r="A192" s="96">
        <v>187.0</v>
      </c>
      <c r="B192" s="97">
        <v>44698.0</v>
      </c>
      <c r="C192" s="96">
        <v>10230.0</v>
      </c>
      <c r="D192" s="98" t="s">
        <v>52</v>
      </c>
      <c r="E192" s="104"/>
      <c r="F192" s="99">
        <v>0.3263888888888889</v>
      </c>
      <c r="G192" s="99">
        <v>0.7111111111111111</v>
      </c>
      <c r="H192" s="101"/>
      <c r="I192" s="92" t="str">
        <f>IFERROR(VLOOKUP(D192,'Công T5'!$C$7:$F$89,4,0),"")</f>
        <v>ĐT</v>
      </c>
      <c r="J192" s="92">
        <f t="shared" si="8"/>
        <v>0.3263888889</v>
      </c>
      <c r="K192" s="92">
        <f t="shared" si="1"/>
        <v>0.7111111111</v>
      </c>
      <c r="L192" s="92" t="str">
        <f>IFERROR(VLOOKUP(D192,'Công T5'!$C$7:$F$89,2,0),"")</f>
        <v/>
      </c>
      <c r="M192" s="92">
        <f>IFERROR(VLOOKUP(D192,'Công T5'!$C$7:$F$89,3,0),"")</f>
        <v>0.6666666667</v>
      </c>
      <c r="N192" s="92">
        <f t="shared" si="9"/>
        <v>0.3333333333</v>
      </c>
      <c r="O192" s="92">
        <f t="shared" si="2"/>
        <v>0.7083333333</v>
      </c>
      <c r="P192" s="94">
        <f t="shared" si="3"/>
        <v>0.5</v>
      </c>
      <c r="Q192" s="94">
        <f t="shared" si="4"/>
        <v>0.5</v>
      </c>
      <c r="R192" s="95">
        <f t="shared" si="5"/>
        <v>1</v>
      </c>
      <c r="S192" s="95">
        <f t="shared" si="6"/>
        <v>0</v>
      </c>
      <c r="T192" s="95">
        <f t="shared" si="7"/>
        <v>0</v>
      </c>
    </row>
    <row r="193">
      <c r="A193" s="96">
        <v>188.0</v>
      </c>
      <c r="B193" s="97">
        <v>44699.0</v>
      </c>
      <c r="C193" s="96">
        <v>10230.0</v>
      </c>
      <c r="D193" s="98" t="s">
        <v>52</v>
      </c>
      <c r="E193" s="104"/>
      <c r="F193" s="99">
        <v>0.3277777777777778</v>
      </c>
      <c r="G193" s="99">
        <v>0.6722222222222223</v>
      </c>
      <c r="H193" s="101"/>
      <c r="I193" s="92" t="str">
        <f>IFERROR(VLOOKUP(D193,'Công T5'!$C$7:$F$89,4,0),"")</f>
        <v>ĐT</v>
      </c>
      <c r="J193" s="92">
        <f t="shared" si="8"/>
        <v>0.3277777778</v>
      </c>
      <c r="K193" s="92">
        <f t="shared" si="1"/>
        <v>0.6722222222</v>
      </c>
      <c r="L193" s="92" t="str">
        <f>IFERROR(VLOOKUP(D193,'Công T5'!$C$7:$F$89,2,0),"")</f>
        <v/>
      </c>
      <c r="M193" s="92">
        <f>IFERROR(VLOOKUP(D193,'Công T5'!$C$7:$F$89,3,0),"")</f>
        <v>0.6666666667</v>
      </c>
      <c r="N193" s="92">
        <f t="shared" si="9"/>
        <v>0.3333333333</v>
      </c>
      <c r="O193" s="92">
        <f t="shared" si="2"/>
        <v>0.6722222222</v>
      </c>
      <c r="P193" s="94">
        <f t="shared" si="3"/>
        <v>0.5</v>
      </c>
      <c r="Q193" s="94">
        <f t="shared" si="4"/>
        <v>0.5</v>
      </c>
      <c r="R193" s="95">
        <f t="shared" si="5"/>
        <v>1</v>
      </c>
      <c r="S193" s="95">
        <f t="shared" si="6"/>
        <v>0</v>
      </c>
      <c r="T193" s="95">
        <f t="shared" si="7"/>
        <v>0</v>
      </c>
    </row>
    <row r="194">
      <c r="A194" s="96">
        <v>189.0</v>
      </c>
      <c r="B194" s="97">
        <v>44700.0</v>
      </c>
      <c r="C194" s="96">
        <v>10230.0</v>
      </c>
      <c r="D194" s="98" t="s">
        <v>52</v>
      </c>
      <c r="E194" s="104"/>
      <c r="F194" s="99">
        <v>0.32916666666666666</v>
      </c>
      <c r="G194" s="99">
        <v>0.6777777777777778</v>
      </c>
      <c r="H194" s="101"/>
      <c r="I194" s="92" t="str">
        <f>IFERROR(VLOOKUP(D194,'Công T5'!$C$7:$F$89,4,0),"")</f>
        <v>ĐT</v>
      </c>
      <c r="J194" s="92">
        <f t="shared" si="8"/>
        <v>0.3291666667</v>
      </c>
      <c r="K194" s="92">
        <f t="shared" si="1"/>
        <v>0.6777777778</v>
      </c>
      <c r="L194" s="92" t="str">
        <f>IFERROR(VLOOKUP(D194,'Công T5'!$C$7:$F$89,2,0),"")</f>
        <v/>
      </c>
      <c r="M194" s="92">
        <f>IFERROR(VLOOKUP(D194,'Công T5'!$C$7:$F$89,3,0),"")</f>
        <v>0.6666666667</v>
      </c>
      <c r="N194" s="92">
        <f t="shared" si="9"/>
        <v>0.3333333333</v>
      </c>
      <c r="O194" s="92">
        <f t="shared" si="2"/>
        <v>0.6777777778</v>
      </c>
      <c r="P194" s="94">
        <f t="shared" si="3"/>
        <v>0.5</v>
      </c>
      <c r="Q194" s="94">
        <f t="shared" si="4"/>
        <v>0.5</v>
      </c>
      <c r="R194" s="95">
        <f t="shared" si="5"/>
        <v>1</v>
      </c>
      <c r="S194" s="95">
        <f t="shared" si="6"/>
        <v>0</v>
      </c>
      <c r="T194" s="95">
        <f t="shared" si="7"/>
        <v>0</v>
      </c>
    </row>
    <row r="195">
      <c r="A195" s="96">
        <v>190.0</v>
      </c>
      <c r="B195" s="103">
        <v>44701.0</v>
      </c>
      <c r="C195" s="96">
        <v>10230.0</v>
      </c>
      <c r="D195" s="98" t="s">
        <v>52</v>
      </c>
      <c r="E195" s="104"/>
      <c r="F195" s="99">
        <v>0.325</v>
      </c>
      <c r="G195" s="99">
        <v>0.6770833333333334</v>
      </c>
      <c r="H195" s="101"/>
      <c r="I195" s="92" t="str">
        <f>IFERROR(VLOOKUP(D195,'Công T5'!$C$7:$F$89,4,0),"")</f>
        <v>ĐT</v>
      </c>
      <c r="J195" s="92">
        <f t="shared" si="8"/>
        <v>0.325</v>
      </c>
      <c r="K195" s="92">
        <f t="shared" si="1"/>
        <v>0.6770833333</v>
      </c>
      <c r="L195" s="92" t="str">
        <f>IFERROR(VLOOKUP(D195,'Công T5'!$C$7:$F$89,2,0),"")</f>
        <v/>
      </c>
      <c r="M195" s="92">
        <f>IFERROR(VLOOKUP(D195,'Công T5'!$C$7:$F$89,3,0),"")</f>
        <v>0.6666666667</v>
      </c>
      <c r="N195" s="92">
        <f t="shared" si="9"/>
        <v>0.3333333333</v>
      </c>
      <c r="O195" s="92">
        <f t="shared" si="2"/>
        <v>0.6770833333</v>
      </c>
      <c r="P195" s="94">
        <f t="shared" si="3"/>
        <v>0.5</v>
      </c>
      <c r="Q195" s="94">
        <f t="shared" si="4"/>
        <v>0.5</v>
      </c>
      <c r="R195" s="95">
        <f t="shared" si="5"/>
        <v>1</v>
      </c>
      <c r="S195" s="95">
        <f t="shared" si="6"/>
        <v>0</v>
      </c>
      <c r="T195" s="95">
        <f t="shared" si="7"/>
        <v>0</v>
      </c>
    </row>
    <row r="196">
      <c r="A196" s="96">
        <v>191.0</v>
      </c>
      <c r="B196" s="97">
        <v>44702.0</v>
      </c>
      <c r="C196" s="96">
        <v>10230.0</v>
      </c>
      <c r="D196" s="98" t="s">
        <v>52</v>
      </c>
      <c r="E196" s="104"/>
      <c r="F196" s="99">
        <v>0.32222222222222224</v>
      </c>
      <c r="G196" s="99">
        <v>0.6805555555555556</v>
      </c>
      <c r="H196" s="101"/>
      <c r="I196" s="92" t="str">
        <f>IFERROR(VLOOKUP(D196,'Công T5'!$C$7:$F$89,4,0),"")</f>
        <v>ĐT</v>
      </c>
      <c r="J196" s="92">
        <f t="shared" si="8"/>
        <v>0.3222222222</v>
      </c>
      <c r="K196" s="92">
        <f t="shared" si="1"/>
        <v>0.6805555556</v>
      </c>
      <c r="L196" s="92" t="str">
        <f>IFERROR(VLOOKUP(D196,'Công T5'!$C$7:$F$89,2,0),"")</f>
        <v/>
      </c>
      <c r="M196" s="92">
        <f>IFERROR(VLOOKUP(D196,'Công T5'!$C$7:$F$89,3,0),"")</f>
        <v>0.6666666667</v>
      </c>
      <c r="N196" s="92">
        <f t="shared" si="9"/>
        <v>0.3333333333</v>
      </c>
      <c r="O196" s="92">
        <f t="shared" si="2"/>
        <v>0.6805555556</v>
      </c>
      <c r="P196" s="94">
        <f t="shared" si="3"/>
        <v>0.5</v>
      </c>
      <c r="Q196" s="94">
        <f t="shared" si="4"/>
        <v>0.5</v>
      </c>
      <c r="R196" s="95">
        <f t="shared" si="5"/>
        <v>1</v>
      </c>
      <c r="S196" s="95">
        <f t="shared" si="6"/>
        <v>0</v>
      </c>
      <c r="T196" s="95">
        <f t="shared" si="7"/>
        <v>0</v>
      </c>
    </row>
    <row r="197">
      <c r="A197" s="96">
        <v>192.0</v>
      </c>
      <c r="B197" s="97">
        <v>44704.0</v>
      </c>
      <c r="C197" s="96">
        <v>10230.0</v>
      </c>
      <c r="D197" s="98" t="s">
        <v>52</v>
      </c>
      <c r="E197" s="104"/>
      <c r="F197" s="99">
        <v>0.32222222222222224</v>
      </c>
      <c r="G197" s="99">
        <v>0.6722222222222223</v>
      </c>
      <c r="H197" s="101"/>
      <c r="I197" s="92" t="str">
        <f>IFERROR(VLOOKUP(D197,'Công T5'!$C$7:$F$89,4,0),"")</f>
        <v>ĐT</v>
      </c>
      <c r="J197" s="92">
        <f t="shared" si="8"/>
        <v>0.3222222222</v>
      </c>
      <c r="K197" s="92">
        <f t="shared" si="1"/>
        <v>0.6722222222</v>
      </c>
      <c r="L197" s="92" t="str">
        <f>IFERROR(VLOOKUP(D197,'Công T5'!$C$7:$F$89,2,0),"")</f>
        <v/>
      </c>
      <c r="M197" s="92">
        <f>IFERROR(VLOOKUP(D197,'Công T5'!$C$7:$F$89,3,0),"")</f>
        <v>0.6666666667</v>
      </c>
      <c r="N197" s="92">
        <f t="shared" si="9"/>
        <v>0.3333333333</v>
      </c>
      <c r="O197" s="92">
        <f t="shared" si="2"/>
        <v>0.6722222222</v>
      </c>
      <c r="P197" s="94">
        <f t="shared" si="3"/>
        <v>0.5</v>
      </c>
      <c r="Q197" s="94">
        <f t="shared" si="4"/>
        <v>0.5</v>
      </c>
      <c r="R197" s="95">
        <f t="shared" si="5"/>
        <v>1</v>
      </c>
      <c r="S197" s="95">
        <f t="shared" si="6"/>
        <v>0</v>
      </c>
      <c r="T197" s="95">
        <f t="shared" si="7"/>
        <v>0</v>
      </c>
    </row>
    <row r="198">
      <c r="A198" s="96">
        <v>193.0</v>
      </c>
      <c r="B198" s="97">
        <v>44705.0</v>
      </c>
      <c r="C198" s="96">
        <v>10230.0</v>
      </c>
      <c r="D198" s="98" t="s">
        <v>52</v>
      </c>
      <c r="E198" s="104"/>
      <c r="F198" s="99">
        <v>0.32916666666666666</v>
      </c>
      <c r="G198" s="99">
        <v>0.6777777777777778</v>
      </c>
      <c r="H198" s="101"/>
      <c r="I198" s="92" t="str">
        <f>IFERROR(VLOOKUP(D198,'Công T5'!$C$7:$F$89,4,0),"")</f>
        <v>ĐT</v>
      </c>
      <c r="J198" s="92">
        <f t="shared" si="8"/>
        <v>0.3291666667</v>
      </c>
      <c r="K198" s="92">
        <f t="shared" si="1"/>
        <v>0.6777777778</v>
      </c>
      <c r="L198" s="92" t="str">
        <f>IFERROR(VLOOKUP(D198,'Công T5'!$C$7:$F$89,2,0),"")</f>
        <v/>
      </c>
      <c r="M198" s="92">
        <f>IFERROR(VLOOKUP(D198,'Công T5'!$C$7:$F$89,3,0),"")</f>
        <v>0.6666666667</v>
      </c>
      <c r="N198" s="92">
        <f t="shared" si="9"/>
        <v>0.3333333333</v>
      </c>
      <c r="O198" s="92">
        <f t="shared" si="2"/>
        <v>0.6777777778</v>
      </c>
      <c r="P198" s="94">
        <f t="shared" si="3"/>
        <v>0.5</v>
      </c>
      <c r="Q198" s="94">
        <f t="shared" si="4"/>
        <v>0.5</v>
      </c>
      <c r="R198" s="95">
        <f t="shared" si="5"/>
        <v>1</v>
      </c>
      <c r="S198" s="95">
        <f t="shared" si="6"/>
        <v>0</v>
      </c>
      <c r="T198" s="95">
        <f t="shared" si="7"/>
        <v>0</v>
      </c>
    </row>
    <row r="199">
      <c r="A199" s="96">
        <v>194.0</v>
      </c>
      <c r="B199" s="97">
        <v>44706.0</v>
      </c>
      <c r="C199" s="96">
        <v>10230.0</v>
      </c>
      <c r="D199" s="98" t="s">
        <v>52</v>
      </c>
      <c r="E199" s="104"/>
      <c r="F199" s="99">
        <v>0.3298611111111111</v>
      </c>
      <c r="G199" s="99">
        <v>0.6840277777777778</v>
      </c>
      <c r="H199" s="101"/>
      <c r="I199" s="92" t="str">
        <f>IFERROR(VLOOKUP(D199,'Công T5'!$C$7:$F$89,4,0),"")</f>
        <v>ĐT</v>
      </c>
      <c r="J199" s="92">
        <f t="shared" si="8"/>
        <v>0.3298611111</v>
      </c>
      <c r="K199" s="92">
        <f t="shared" si="1"/>
        <v>0.6840277778</v>
      </c>
      <c r="L199" s="92" t="str">
        <f>IFERROR(VLOOKUP(D199,'Công T5'!$C$7:$F$89,2,0),"")</f>
        <v/>
      </c>
      <c r="M199" s="92">
        <f>IFERROR(VLOOKUP(D199,'Công T5'!$C$7:$F$89,3,0),"")</f>
        <v>0.6666666667</v>
      </c>
      <c r="N199" s="92">
        <f t="shared" si="9"/>
        <v>0.3333333333</v>
      </c>
      <c r="O199" s="92">
        <f t="shared" si="2"/>
        <v>0.6840277778</v>
      </c>
      <c r="P199" s="94">
        <f t="shared" si="3"/>
        <v>0.5</v>
      </c>
      <c r="Q199" s="94">
        <f t="shared" si="4"/>
        <v>0.5</v>
      </c>
      <c r="R199" s="95">
        <f t="shared" si="5"/>
        <v>1</v>
      </c>
      <c r="S199" s="95">
        <f t="shared" si="6"/>
        <v>0</v>
      </c>
      <c r="T199" s="95">
        <f t="shared" si="7"/>
        <v>0</v>
      </c>
    </row>
    <row r="200">
      <c r="A200" s="96">
        <v>195.0</v>
      </c>
      <c r="B200" s="97">
        <v>44677.0</v>
      </c>
      <c r="C200" s="96">
        <v>10029.0</v>
      </c>
      <c r="D200" s="98" t="s">
        <v>51</v>
      </c>
      <c r="E200" s="104"/>
      <c r="F200" s="99">
        <v>0.3263888888888889</v>
      </c>
      <c r="G200" s="99">
        <v>0.7104166666666667</v>
      </c>
      <c r="H200" s="101"/>
      <c r="I200" s="92" t="str">
        <f>IFERROR(VLOOKUP(D200,'Công T5'!$C$7:$F$89,4,0),"")</f>
        <v>ĐT</v>
      </c>
      <c r="J200" s="92">
        <f t="shared" si="8"/>
        <v>0.3263888889</v>
      </c>
      <c r="K200" s="92">
        <f t="shared" si="1"/>
        <v>0.7104166667</v>
      </c>
      <c r="L200" s="92" t="str">
        <f>IFERROR(VLOOKUP(D200,'Công T5'!$C$7:$F$89,2,0),"")</f>
        <v/>
      </c>
      <c r="M200" s="92" t="str">
        <f>IFERROR(VLOOKUP(D200,'Công T5'!$C$7:$F$89,3,0),"")</f>
        <v/>
      </c>
      <c r="N200" s="92">
        <f t="shared" si="9"/>
        <v>0.3333333333</v>
      </c>
      <c r="O200" s="92">
        <f t="shared" si="2"/>
        <v>0.7083333333</v>
      </c>
      <c r="P200" s="94">
        <f t="shared" si="3"/>
        <v>0.5</v>
      </c>
      <c r="Q200" s="94">
        <f t="shared" si="4"/>
        <v>0.5</v>
      </c>
      <c r="R200" s="95">
        <f t="shared" si="5"/>
        <v>1</v>
      </c>
      <c r="S200" s="95">
        <f t="shared" si="6"/>
        <v>0</v>
      </c>
      <c r="T200" s="95">
        <f t="shared" si="7"/>
        <v>0</v>
      </c>
    </row>
    <row r="201">
      <c r="A201" s="96">
        <v>196.0</v>
      </c>
      <c r="B201" s="97">
        <v>44678.0</v>
      </c>
      <c r="C201" s="96">
        <v>10029.0</v>
      </c>
      <c r="D201" s="98" t="s">
        <v>51</v>
      </c>
      <c r="E201" s="104"/>
      <c r="F201" s="99">
        <v>0.32013888888888886</v>
      </c>
      <c r="G201" s="99">
        <v>0.7118055555555556</v>
      </c>
      <c r="H201" s="101"/>
      <c r="I201" s="92" t="str">
        <f>IFERROR(VLOOKUP(D201,'Công T5'!$C$7:$F$89,4,0),"")</f>
        <v>ĐT</v>
      </c>
      <c r="J201" s="92">
        <f t="shared" si="8"/>
        <v>0.3201388889</v>
      </c>
      <c r="K201" s="92">
        <f t="shared" si="1"/>
        <v>0.7118055556</v>
      </c>
      <c r="L201" s="92" t="str">
        <f>IFERROR(VLOOKUP(D201,'Công T5'!$C$7:$F$89,2,0),"")</f>
        <v/>
      </c>
      <c r="M201" s="92" t="str">
        <f>IFERROR(VLOOKUP(D201,'Công T5'!$C$7:$F$89,3,0),"")</f>
        <v/>
      </c>
      <c r="N201" s="92">
        <f t="shared" si="9"/>
        <v>0.3333333333</v>
      </c>
      <c r="O201" s="92">
        <f t="shared" si="2"/>
        <v>0.7083333333</v>
      </c>
      <c r="P201" s="94">
        <f t="shared" si="3"/>
        <v>0.5</v>
      </c>
      <c r="Q201" s="94">
        <f t="shared" si="4"/>
        <v>0.5</v>
      </c>
      <c r="R201" s="95">
        <f t="shared" si="5"/>
        <v>1</v>
      </c>
      <c r="S201" s="95">
        <f t="shared" si="6"/>
        <v>0</v>
      </c>
      <c r="T201" s="95">
        <f t="shared" si="7"/>
        <v>0</v>
      </c>
    </row>
    <row r="202">
      <c r="A202" s="96">
        <v>197.0</v>
      </c>
      <c r="B202" s="97">
        <v>44679.0</v>
      </c>
      <c r="C202" s="96">
        <v>10029.0</v>
      </c>
      <c r="D202" s="98" t="s">
        <v>51</v>
      </c>
      <c r="E202" s="104"/>
      <c r="F202" s="99">
        <v>0.3236111111111111</v>
      </c>
      <c r="G202" s="99">
        <v>0.7138888888888889</v>
      </c>
      <c r="H202" s="101"/>
      <c r="I202" s="92" t="str">
        <f>IFERROR(VLOOKUP(D202,'Công T5'!$C$7:$F$89,4,0),"")</f>
        <v>ĐT</v>
      </c>
      <c r="J202" s="92">
        <f t="shared" si="8"/>
        <v>0.3236111111</v>
      </c>
      <c r="K202" s="92">
        <f t="shared" si="1"/>
        <v>0.7138888889</v>
      </c>
      <c r="L202" s="92" t="str">
        <f>IFERROR(VLOOKUP(D202,'Công T5'!$C$7:$F$89,2,0),"")</f>
        <v/>
      </c>
      <c r="M202" s="92" t="str">
        <f>IFERROR(VLOOKUP(D202,'Công T5'!$C$7:$F$89,3,0),"")</f>
        <v/>
      </c>
      <c r="N202" s="92">
        <f t="shared" si="9"/>
        <v>0.3333333333</v>
      </c>
      <c r="O202" s="92">
        <f t="shared" si="2"/>
        <v>0.7083333333</v>
      </c>
      <c r="P202" s="94">
        <f t="shared" si="3"/>
        <v>0.5</v>
      </c>
      <c r="Q202" s="94">
        <f t="shared" si="4"/>
        <v>0.5</v>
      </c>
      <c r="R202" s="95">
        <f t="shared" si="5"/>
        <v>1</v>
      </c>
      <c r="S202" s="95">
        <f t="shared" si="6"/>
        <v>0</v>
      </c>
      <c r="T202" s="95">
        <f t="shared" si="7"/>
        <v>0</v>
      </c>
    </row>
    <row r="203">
      <c r="A203" s="96">
        <v>198.0</v>
      </c>
      <c r="B203" s="97">
        <v>44680.0</v>
      </c>
      <c r="C203" s="96">
        <v>10029.0</v>
      </c>
      <c r="D203" s="98" t="s">
        <v>51</v>
      </c>
      <c r="E203" s="104"/>
      <c r="F203" s="99">
        <v>0.32430555555555557</v>
      </c>
      <c r="G203" s="99">
        <v>0.7118055555555556</v>
      </c>
      <c r="H203" s="101"/>
      <c r="I203" s="92" t="str">
        <f>IFERROR(VLOOKUP(D203,'Công T5'!$C$7:$F$89,4,0),"")</f>
        <v>ĐT</v>
      </c>
      <c r="J203" s="92">
        <f t="shared" si="8"/>
        <v>0.3243055556</v>
      </c>
      <c r="K203" s="92">
        <f t="shared" si="1"/>
        <v>0.7118055556</v>
      </c>
      <c r="L203" s="92" t="str">
        <f>IFERROR(VLOOKUP(D203,'Công T5'!$C$7:$F$89,2,0),"")</f>
        <v/>
      </c>
      <c r="M203" s="92" t="str">
        <f>IFERROR(VLOOKUP(D203,'Công T5'!$C$7:$F$89,3,0),"")</f>
        <v/>
      </c>
      <c r="N203" s="92">
        <f t="shared" si="9"/>
        <v>0.3333333333</v>
      </c>
      <c r="O203" s="92">
        <f t="shared" si="2"/>
        <v>0.7083333333</v>
      </c>
      <c r="P203" s="94">
        <f t="shared" si="3"/>
        <v>0.5</v>
      </c>
      <c r="Q203" s="94">
        <f t="shared" si="4"/>
        <v>0.5</v>
      </c>
      <c r="R203" s="95">
        <f t="shared" si="5"/>
        <v>1</v>
      </c>
      <c r="S203" s="95">
        <f t="shared" si="6"/>
        <v>0</v>
      </c>
      <c r="T203" s="95">
        <f t="shared" si="7"/>
        <v>0</v>
      </c>
    </row>
    <row r="204">
      <c r="A204" s="96">
        <v>199.0</v>
      </c>
      <c r="B204" s="97">
        <v>44685.0</v>
      </c>
      <c r="C204" s="96">
        <v>10029.0</v>
      </c>
      <c r="D204" s="98" t="s">
        <v>51</v>
      </c>
      <c r="E204" s="104"/>
      <c r="F204" s="99">
        <v>0.33055555555555555</v>
      </c>
      <c r="G204" s="99">
        <v>0.7131944444444445</v>
      </c>
      <c r="H204" s="101"/>
      <c r="I204" s="92" t="str">
        <f>IFERROR(VLOOKUP(D204,'Công T5'!$C$7:$F$89,4,0),"")</f>
        <v>ĐT</v>
      </c>
      <c r="J204" s="92">
        <f t="shared" si="8"/>
        <v>0.3305555556</v>
      </c>
      <c r="K204" s="92">
        <f t="shared" si="1"/>
        <v>0.7131944444</v>
      </c>
      <c r="L204" s="92" t="str">
        <f>IFERROR(VLOOKUP(D204,'Công T5'!$C$7:$F$89,2,0),"")</f>
        <v/>
      </c>
      <c r="M204" s="92" t="str">
        <f>IFERROR(VLOOKUP(D204,'Công T5'!$C$7:$F$89,3,0),"")</f>
        <v/>
      </c>
      <c r="N204" s="92">
        <f t="shared" si="9"/>
        <v>0.3333333333</v>
      </c>
      <c r="O204" s="92">
        <f t="shared" si="2"/>
        <v>0.7083333333</v>
      </c>
      <c r="P204" s="94">
        <f t="shared" si="3"/>
        <v>0.5</v>
      </c>
      <c r="Q204" s="94">
        <f t="shared" si="4"/>
        <v>0.5</v>
      </c>
      <c r="R204" s="95">
        <f t="shared" si="5"/>
        <v>1</v>
      </c>
      <c r="S204" s="95">
        <f t="shared" si="6"/>
        <v>0</v>
      </c>
      <c r="T204" s="95">
        <f t="shared" si="7"/>
        <v>0</v>
      </c>
    </row>
    <row r="205">
      <c r="A205" s="96">
        <v>200.0</v>
      </c>
      <c r="B205" s="97">
        <v>44686.0</v>
      </c>
      <c r="C205" s="96">
        <v>10029.0</v>
      </c>
      <c r="D205" s="98" t="s">
        <v>51</v>
      </c>
      <c r="E205" s="104"/>
      <c r="F205" s="99">
        <v>0.32569444444444445</v>
      </c>
      <c r="G205" s="99">
        <v>0.7138888888888889</v>
      </c>
      <c r="H205" s="101"/>
      <c r="I205" s="92" t="str">
        <f>IFERROR(VLOOKUP(D205,'Công T5'!$C$7:$F$89,4,0),"")</f>
        <v>ĐT</v>
      </c>
      <c r="J205" s="92">
        <f t="shared" si="8"/>
        <v>0.3256944444</v>
      </c>
      <c r="K205" s="92">
        <f t="shared" si="1"/>
        <v>0.7138888889</v>
      </c>
      <c r="L205" s="92" t="str">
        <f>IFERROR(VLOOKUP(D205,'Công T5'!$C$7:$F$89,2,0),"")</f>
        <v/>
      </c>
      <c r="M205" s="92" t="str">
        <f>IFERROR(VLOOKUP(D205,'Công T5'!$C$7:$F$89,3,0),"")</f>
        <v/>
      </c>
      <c r="N205" s="92">
        <f t="shared" si="9"/>
        <v>0.3333333333</v>
      </c>
      <c r="O205" s="92">
        <f t="shared" si="2"/>
        <v>0.7083333333</v>
      </c>
      <c r="P205" s="94">
        <f t="shared" si="3"/>
        <v>0.5</v>
      </c>
      <c r="Q205" s="94">
        <f t="shared" si="4"/>
        <v>0.5</v>
      </c>
      <c r="R205" s="95">
        <f t="shared" si="5"/>
        <v>1</v>
      </c>
      <c r="S205" s="95">
        <f t="shared" si="6"/>
        <v>0</v>
      </c>
      <c r="T205" s="95">
        <f t="shared" si="7"/>
        <v>0</v>
      </c>
    </row>
    <row r="206">
      <c r="A206" s="96">
        <v>201.0</v>
      </c>
      <c r="B206" s="97">
        <v>44687.0</v>
      </c>
      <c r="C206" s="96">
        <v>10029.0</v>
      </c>
      <c r="D206" s="98" t="s">
        <v>51</v>
      </c>
      <c r="E206" s="104"/>
      <c r="F206" s="99">
        <v>0.3277777777777778</v>
      </c>
      <c r="G206" s="99">
        <v>0.7111111111111111</v>
      </c>
      <c r="H206" s="101"/>
      <c r="I206" s="92" t="str">
        <f>IFERROR(VLOOKUP(D206,'Công T5'!$C$7:$F$89,4,0),"")</f>
        <v>ĐT</v>
      </c>
      <c r="J206" s="92">
        <f t="shared" si="8"/>
        <v>0.3277777778</v>
      </c>
      <c r="K206" s="92">
        <f t="shared" si="1"/>
        <v>0.7111111111</v>
      </c>
      <c r="L206" s="92" t="str">
        <f>IFERROR(VLOOKUP(D206,'Công T5'!$C$7:$F$89,2,0),"")</f>
        <v/>
      </c>
      <c r="M206" s="92" t="str">
        <f>IFERROR(VLOOKUP(D206,'Công T5'!$C$7:$F$89,3,0),"")</f>
        <v/>
      </c>
      <c r="N206" s="92">
        <f t="shared" si="9"/>
        <v>0.3333333333</v>
      </c>
      <c r="O206" s="92">
        <f t="shared" si="2"/>
        <v>0.7083333333</v>
      </c>
      <c r="P206" s="94">
        <f t="shared" si="3"/>
        <v>0.5</v>
      </c>
      <c r="Q206" s="94">
        <f t="shared" si="4"/>
        <v>0.5</v>
      </c>
      <c r="R206" s="95">
        <f t="shared" si="5"/>
        <v>1</v>
      </c>
      <c r="S206" s="95">
        <f t="shared" si="6"/>
        <v>0</v>
      </c>
      <c r="T206" s="95">
        <f t="shared" si="7"/>
        <v>0</v>
      </c>
    </row>
    <row r="207">
      <c r="A207" s="96">
        <v>202.0</v>
      </c>
      <c r="B207" s="97">
        <v>44688.0</v>
      </c>
      <c r="C207" s="96">
        <v>10029.0</v>
      </c>
      <c r="D207" s="98" t="s">
        <v>51</v>
      </c>
      <c r="E207" s="104"/>
      <c r="F207" s="99">
        <v>0.3229166666666667</v>
      </c>
      <c r="G207" s="99">
        <v>0.7097222222222223</v>
      </c>
      <c r="H207" s="101"/>
      <c r="I207" s="92" t="str">
        <f>IFERROR(VLOOKUP(D207,'Công T5'!$C$7:$F$89,4,0),"")</f>
        <v>ĐT</v>
      </c>
      <c r="J207" s="92">
        <f t="shared" si="8"/>
        <v>0.3229166667</v>
      </c>
      <c r="K207" s="92">
        <f t="shared" si="1"/>
        <v>0.7097222222</v>
      </c>
      <c r="L207" s="92" t="str">
        <f>IFERROR(VLOOKUP(D207,'Công T5'!$C$7:$F$89,2,0),"")</f>
        <v/>
      </c>
      <c r="M207" s="92" t="str">
        <f>IFERROR(VLOOKUP(D207,'Công T5'!$C$7:$F$89,3,0),"")</f>
        <v/>
      </c>
      <c r="N207" s="92">
        <f t="shared" si="9"/>
        <v>0.3333333333</v>
      </c>
      <c r="O207" s="92">
        <f t="shared" si="2"/>
        <v>0.7083333333</v>
      </c>
      <c r="P207" s="94">
        <f t="shared" si="3"/>
        <v>0.5</v>
      </c>
      <c r="Q207" s="94">
        <f t="shared" si="4"/>
        <v>0.5</v>
      </c>
      <c r="R207" s="95">
        <f t="shared" si="5"/>
        <v>1</v>
      </c>
      <c r="S207" s="95">
        <f t="shared" si="6"/>
        <v>0</v>
      </c>
      <c r="T207" s="95">
        <f t="shared" si="7"/>
        <v>0</v>
      </c>
    </row>
    <row r="208">
      <c r="A208" s="96">
        <v>203.0</v>
      </c>
      <c r="B208" s="97">
        <v>44690.0</v>
      </c>
      <c r="C208" s="96">
        <v>10029.0</v>
      </c>
      <c r="D208" s="98" t="s">
        <v>51</v>
      </c>
      <c r="E208" s="104"/>
      <c r="F208" s="99">
        <v>0.3236111111111111</v>
      </c>
      <c r="G208" s="99">
        <v>0.7104166666666667</v>
      </c>
      <c r="H208" s="101"/>
      <c r="I208" s="92" t="str">
        <f>IFERROR(VLOOKUP(D208,'Công T5'!$C$7:$F$89,4,0),"")</f>
        <v>ĐT</v>
      </c>
      <c r="J208" s="92">
        <f t="shared" si="8"/>
        <v>0.3236111111</v>
      </c>
      <c r="K208" s="92">
        <f t="shared" si="1"/>
        <v>0.7104166667</v>
      </c>
      <c r="L208" s="92" t="str">
        <f>IFERROR(VLOOKUP(D208,'Công T5'!$C$7:$F$89,2,0),"")</f>
        <v/>
      </c>
      <c r="M208" s="92" t="str">
        <f>IFERROR(VLOOKUP(D208,'Công T5'!$C$7:$F$89,3,0),"")</f>
        <v/>
      </c>
      <c r="N208" s="92">
        <f t="shared" si="9"/>
        <v>0.3333333333</v>
      </c>
      <c r="O208" s="92">
        <f t="shared" si="2"/>
        <v>0.7083333333</v>
      </c>
      <c r="P208" s="94">
        <f t="shared" si="3"/>
        <v>0.5</v>
      </c>
      <c r="Q208" s="94">
        <f t="shared" si="4"/>
        <v>0.5</v>
      </c>
      <c r="R208" s="95">
        <f t="shared" si="5"/>
        <v>1</v>
      </c>
      <c r="S208" s="95">
        <f t="shared" si="6"/>
        <v>0</v>
      </c>
      <c r="T208" s="95">
        <f t="shared" si="7"/>
        <v>0</v>
      </c>
    </row>
    <row r="209">
      <c r="A209" s="96">
        <v>204.0</v>
      </c>
      <c r="B209" s="97">
        <v>44691.0</v>
      </c>
      <c r="C209" s="96">
        <v>10029.0</v>
      </c>
      <c r="D209" s="98" t="s">
        <v>51</v>
      </c>
      <c r="E209" s="104"/>
      <c r="F209" s="99">
        <v>0.3284722222222222</v>
      </c>
      <c r="G209" s="99">
        <v>0.7125</v>
      </c>
      <c r="H209" s="101"/>
      <c r="I209" s="92" t="str">
        <f>IFERROR(VLOOKUP(D209,'Công T5'!$C$7:$F$89,4,0),"")</f>
        <v>ĐT</v>
      </c>
      <c r="J209" s="92">
        <f t="shared" si="8"/>
        <v>0.3284722222</v>
      </c>
      <c r="K209" s="92">
        <f t="shared" si="1"/>
        <v>0.7125</v>
      </c>
      <c r="L209" s="92" t="str">
        <f>IFERROR(VLOOKUP(D209,'Công T5'!$C$7:$F$89,2,0),"")</f>
        <v/>
      </c>
      <c r="M209" s="92" t="str">
        <f>IFERROR(VLOOKUP(D209,'Công T5'!$C$7:$F$89,3,0),"")</f>
        <v/>
      </c>
      <c r="N209" s="92">
        <f t="shared" si="9"/>
        <v>0.3333333333</v>
      </c>
      <c r="O209" s="92">
        <f t="shared" si="2"/>
        <v>0.7083333333</v>
      </c>
      <c r="P209" s="94">
        <f t="shared" si="3"/>
        <v>0.5</v>
      </c>
      <c r="Q209" s="94">
        <f t="shared" si="4"/>
        <v>0.5</v>
      </c>
      <c r="R209" s="95">
        <f t="shared" si="5"/>
        <v>1</v>
      </c>
      <c r="S209" s="95">
        <f t="shared" si="6"/>
        <v>0</v>
      </c>
      <c r="T209" s="95">
        <f t="shared" si="7"/>
        <v>0</v>
      </c>
    </row>
    <row r="210">
      <c r="A210" s="96">
        <v>205.0</v>
      </c>
      <c r="B210" s="97">
        <v>44692.0</v>
      </c>
      <c r="C210" s="96">
        <v>10029.0</v>
      </c>
      <c r="D210" s="98" t="s">
        <v>51</v>
      </c>
      <c r="E210" s="104"/>
      <c r="F210" s="99">
        <v>0.3277777777777778</v>
      </c>
      <c r="G210" s="99">
        <v>0.7138888888888889</v>
      </c>
      <c r="H210" s="101"/>
      <c r="I210" s="92" t="str">
        <f>IFERROR(VLOOKUP(D210,'Công T5'!$C$7:$F$89,4,0),"")</f>
        <v>ĐT</v>
      </c>
      <c r="J210" s="92">
        <f t="shared" si="8"/>
        <v>0.3277777778</v>
      </c>
      <c r="K210" s="92">
        <f t="shared" si="1"/>
        <v>0.7138888889</v>
      </c>
      <c r="L210" s="92" t="str">
        <f>IFERROR(VLOOKUP(D210,'Công T5'!$C$7:$F$89,2,0),"")</f>
        <v/>
      </c>
      <c r="M210" s="92" t="str">
        <f>IFERROR(VLOOKUP(D210,'Công T5'!$C$7:$F$89,3,0),"")</f>
        <v/>
      </c>
      <c r="N210" s="92">
        <f t="shared" si="9"/>
        <v>0.3333333333</v>
      </c>
      <c r="O210" s="92">
        <f t="shared" si="2"/>
        <v>0.7083333333</v>
      </c>
      <c r="P210" s="94">
        <f t="shared" si="3"/>
        <v>0.5</v>
      </c>
      <c r="Q210" s="94">
        <f t="shared" si="4"/>
        <v>0.5</v>
      </c>
      <c r="R210" s="95">
        <f t="shared" si="5"/>
        <v>1</v>
      </c>
      <c r="S210" s="95">
        <f t="shared" si="6"/>
        <v>0</v>
      </c>
      <c r="T210" s="95">
        <f t="shared" si="7"/>
        <v>0</v>
      </c>
    </row>
    <row r="211">
      <c r="A211" s="96">
        <v>206.0</v>
      </c>
      <c r="B211" s="97">
        <v>44693.0</v>
      </c>
      <c r="C211" s="96">
        <v>10029.0</v>
      </c>
      <c r="D211" s="98" t="s">
        <v>51</v>
      </c>
      <c r="E211" s="104"/>
      <c r="F211" s="99">
        <v>0.3277777777777778</v>
      </c>
      <c r="G211" s="99">
        <v>0.7118055555555556</v>
      </c>
      <c r="H211" s="101"/>
      <c r="I211" s="92" t="str">
        <f>IFERROR(VLOOKUP(D211,'Công T5'!$C$7:$F$89,4,0),"")</f>
        <v>ĐT</v>
      </c>
      <c r="J211" s="92">
        <f t="shared" si="8"/>
        <v>0.3277777778</v>
      </c>
      <c r="K211" s="92">
        <f t="shared" si="1"/>
        <v>0.7118055556</v>
      </c>
      <c r="L211" s="92" t="str">
        <f>IFERROR(VLOOKUP(D211,'Công T5'!$C$7:$F$89,2,0),"")</f>
        <v/>
      </c>
      <c r="M211" s="92" t="str">
        <f>IFERROR(VLOOKUP(D211,'Công T5'!$C$7:$F$89,3,0),"")</f>
        <v/>
      </c>
      <c r="N211" s="92">
        <f t="shared" si="9"/>
        <v>0.3333333333</v>
      </c>
      <c r="O211" s="92">
        <f t="shared" si="2"/>
        <v>0.7083333333</v>
      </c>
      <c r="P211" s="94">
        <f t="shared" si="3"/>
        <v>0.5</v>
      </c>
      <c r="Q211" s="94">
        <f t="shared" si="4"/>
        <v>0.5</v>
      </c>
      <c r="R211" s="95">
        <f t="shared" si="5"/>
        <v>1</v>
      </c>
      <c r="S211" s="95">
        <f t="shared" si="6"/>
        <v>0</v>
      </c>
      <c r="T211" s="95">
        <f t="shared" si="7"/>
        <v>0</v>
      </c>
    </row>
    <row r="212">
      <c r="A212" s="96">
        <v>207.0</v>
      </c>
      <c r="B212" s="97">
        <v>44697.0</v>
      </c>
      <c r="C212" s="96">
        <v>10029.0</v>
      </c>
      <c r="D212" s="98" t="s">
        <v>51</v>
      </c>
      <c r="E212" s="104"/>
      <c r="F212" s="99">
        <v>0.32083333333333336</v>
      </c>
      <c r="G212" s="99">
        <v>0.7118055555555556</v>
      </c>
      <c r="H212" s="101"/>
      <c r="I212" s="92" t="str">
        <f>IFERROR(VLOOKUP(D212,'Công T5'!$C$7:$F$89,4,0),"")</f>
        <v>ĐT</v>
      </c>
      <c r="J212" s="92">
        <f t="shared" si="8"/>
        <v>0.3208333333</v>
      </c>
      <c r="K212" s="92">
        <f t="shared" si="1"/>
        <v>0.7118055556</v>
      </c>
      <c r="L212" s="92" t="str">
        <f>IFERROR(VLOOKUP(D212,'Công T5'!$C$7:$F$89,2,0),"")</f>
        <v/>
      </c>
      <c r="M212" s="92" t="str">
        <f>IFERROR(VLOOKUP(D212,'Công T5'!$C$7:$F$89,3,0),"")</f>
        <v/>
      </c>
      <c r="N212" s="92">
        <f t="shared" si="9"/>
        <v>0.3333333333</v>
      </c>
      <c r="O212" s="92">
        <f t="shared" si="2"/>
        <v>0.7083333333</v>
      </c>
      <c r="P212" s="94">
        <f t="shared" si="3"/>
        <v>0.5</v>
      </c>
      <c r="Q212" s="94">
        <f t="shared" si="4"/>
        <v>0.5</v>
      </c>
      <c r="R212" s="95">
        <f t="shared" si="5"/>
        <v>1</v>
      </c>
      <c r="S212" s="95">
        <f t="shared" si="6"/>
        <v>0</v>
      </c>
      <c r="T212" s="95">
        <f t="shared" si="7"/>
        <v>0</v>
      </c>
    </row>
    <row r="213">
      <c r="A213" s="96">
        <v>208.0</v>
      </c>
      <c r="B213" s="97">
        <v>44698.0</v>
      </c>
      <c r="C213" s="96">
        <v>10029.0</v>
      </c>
      <c r="D213" s="98" t="s">
        <v>51</v>
      </c>
      <c r="E213" s="104"/>
      <c r="F213" s="99">
        <v>0.3263888888888889</v>
      </c>
      <c r="G213" s="99">
        <v>0.7111111111111111</v>
      </c>
      <c r="H213" s="101"/>
      <c r="I213" s="92" t="str">
        <f>IFERROR(VLOOKUP(D213,'Công T5'!$C$7:$F$89,4,0),"")</f>
        <v>ĐT</v>
      </c>
      <c r="J213" s="92">
        <f t="shared" si="8"/>
        <v>0.3263888889</v>
      </c>
      <c r="K213" s="92">
        <f t="shared" si="1"/>
        <v>0.7111111111</v>
      </c>
      <c r="L213" s="92" t="str">
        <f>IFERROR(VLOOKUP(D213,'Công T5'!$C$7:$F$89,2,0),"")</f>
        <v/>
      </c>
      <c r="M213" s="92" t="str">
        <f>IFERROR(VLOOKUP(D213,'Công T5'!$C$7:$F$89,3,0),"")</f>
        <v/>
      </c>
      <c r="N213" s="92">
        <f t="shared" si="9"/>
        <v>0.3333333333</v>
      </c>
      <c r="O213" s="92">
        <f t="shared" si="2"/>
        <v>0.7083333333</v>
      </c>
      <c r="P213" s="94">
        <f t="shared" si="3"/>
        <v>0.5</v>
      </c>
      <c r="Q213" s="94">
        <f t="shared" si="4"/>
        <v>0.5</v>
      </c>
      <c r="R213" s="95">
        <f t="shared" si="5"/>
        <v>1</v>
      </c>
      <c r="S213" s="95">
        <f t="shared" si="6"/>
        <v>0</v>
      </c>
      <c r="T213" s="95">
        <f t="shared" si="7"/>
        <v>0</v>
      </c>
    </row>
    <row r="214">
      <c r="A214" s="96">
        <v>209.0</v>
      </c>
      <c r="B214" s="103">
        <v>44699.0</v>
      </c>
      <c r="C214" s="96">
        <v>10029.0</v>
      </c>
      <c r="D214" s="98" t="s">
        <v>51</v>
      </c>
      <c r="E214" s="104"/>
      <c r="F214" s="99">
        <v>0.325</v>
      </c>
      <c r="G214" s="99">
        <v>0.7131944444444445</v>
      </c>
      <c r="H214" s="101"/>
      <c r="I214" s="92" t="str">
        <f>IFERROR(VLOOKUP(D214,'Công T5'!$C$7:$F$89,4,0),"")</f>
        <v>ĐT</v>
      </c>
      <c r="J214" s="92">
        <f t="shared" si="8"/>
        <v>0.325</v>
      </c>
      <c r="K214" s="92">
        <f t="shared" si="1"/>
        <v>0.7131944444</v>
      </c>
      <c r="L214" s="92" t="str">
        <f>IFERROR(VLOOKUP(D214,'Công T5'!$C$7:$F$89,2,0),"")</f>
        <v/>
      </c>
      <c r="M214" s="92" t="str">
        <f>IFERROR(VLOOKUP(D214,'Công T5'!$C$7:$F$89,3,0),"")</f>
        <v/>
      </c>
      <c r="N214" s="92">
        <f t="shared" si="9"/>
        <v>0.3333333333</v>
      </c>
      <c r="O214" s="92">
        <f t="shared" si="2"/>
        <v>0.7083333333</v>
      </c>
      <c r="P214" s="94">
        <f t="shared" si="3"/>
        <v>0.5</v>
      </c>
      <c r="Q214" s="94">
        <f t="shared" si="4"/>
        <v>0.5</v>
      </c>
      <c r="R214" s="95">
        <f t="shared" si="5"/>
        <v>1</v>
      </c>
      <c r="S214" s="95">
        <f t="shared" si="6"/>
        <v>0</v>
      </c>
      <c r="T214" s="95">
        <f t="shared" si="7"/>
        <v>0</v>
      </c>
    </row>
    <row r="215">
      <c r="A215" s="96">
        <v>210.0</v>
      </c>
      <c r="B215" s="97">
        <v>44700.0</v>
      </c>
      <c r="C215" s="96">
        <v>10029.0</v>
      </c>
      <c r="D215" s="98" t="s">
        <v>51</v>
      </c>
      <c r="E215" s="104"/>
      <c r="F215" s="99">
        <v>0.3326388888888889</v>
      </c>
      <c r="G215" s="99">
        <v>0.7125</v>
      </c>
      <c r="H215" s="101"/>
      <c r="I215" s="92" t="str">
        <f>IFERROR(VLOOKUP(D215,'Công T5'!$C$7:$F$89,4,0),"")</f>
        <v>ĐT</v>
      </c>
      <c r="J215" s="92">
        <f t="shared" si="8"/>
        <v>0.3326388889</v>
      </c>
      <c r="K215" s="92">
        <f t="shared" si="1"/>
        <v>0.7125</v>
      </c>
      <c r="L215" s="92" t="str">
        <f>IFERROR(VLOOKUP(D215,'Công T5'!$C$7:$F$89,2,0),"")</f>
        <v/>
      </c>
      <c r="M215" s="92" t="str">
        <f>IFERROR(VLOOKUP(D215,'Công T5'!$C$7:$F$89,3,0),"")</f>
        <v/>
      </c>
      <c r="N215" s="92">
        <f t="shared" si="9"/>
        <v>0.3333333333</v>
      </c>
      <c r="O215" s="92">
        <f t="shared" si="2"/>
        <v>0.7083333333</v>
      </c>
      <c r="P215" s="94">
        <f t="shared" si="3"/>
        <v>0.5</v>
      </c>
      <c r="Q215" s="94">
        <f t="shared" si="4"/>
        <v>0.5</v>
      </c>
      <c r="R215" s="95">
        <f t="shared" si="5"/>
        <v>1</v>
      </c>
      <c r="S215" s="95">
        <f t="shared" si="6"/>
        <v>0</v>
      </c>
      <c r="T215" s="95">
        <f t="shared" si="7"/>
        <v>0</v>
      </c>
    </row>
    <row r="216">
      <c r="A216" s="96">
        <v>211.0</v>
      </c>
      <c r="B216" s="103">
        <v>44701.0</v>
      </c>
      <c r="C216" s="96">
        <v>10029.0</v>
      </c>
      <c r="D216" s="98" t="s">
        <v>51</v>
      </c>
      <c r="E216" s="104"/>
      <c r="F216" s="99">
        <v>0.3215277777777778</v>
      </c>
      <c r="G216" s="99">
        <v>0.7118055555555556</v>
      </c>
      <c r="H216" s="101"/>
      <c r="I216" s="92" t="str">
        <f>IFERROR(VLOOKUP(D216,'Công T5'!$C$7:$F$89,4,0),"")</f>
        <v>ĐT</v>
      </c>
      <c r="J216" s="92">
        <f t="shared" si="8"/>
        <v>0.3215277778</v>
      </c>
      <c r="K216" s="92">
        <f t="shared" si="1"/>
        <v>0.7118055556</v>
      </c>
      <c r="L216" s="92" t="str">
        <f>IFERROR(VLOOKUP(D216,'Công T5'!$C$7:$F$89,2,0),"")</f>
        <v/>
      </c>
      <c r="M216" s="92" t="str">
        <f>IFERROR(VLOOKUP(D216,'Công T5'!$C$7:$F$89,3,0),"")</f>
        <v/>
      </c>
      <c r="N216" s="92">
        <f t="shared" si="9"/>
        <v>0.3333333333</v>
      </c>
      <c r="O216" s="92">
        <f t="shared" si="2"/>
        <v>0.7083333333</v>
      </c>
      <c r="P216" s="94">
        <f t="shared" si="3"/>
        <v>0.5</v>
      </c>
      <c r="Q216" s="94">
        <f t="shared" si="4"/>
        <v>0.5</v>
      </c>
      <c r="R216" s="95">
        <f t="shared" si="5"/>
        <v>1</v>
      </c>
      <c r="S216" s="95">
        <f t="shared" si="6"/>
        <v>0</v>
      </c>
      <c r="T216" s="95">
        <f t="shared" si="7"/>
        <v>0</v>
      </c>
    </row>
    <row r="217">
      <c r="A217" s="96">
        <v>212.0</v>
      </c>
      <c r="B217" s="97">
        <v>44702.0</v>
      </c>
      <c r="C217" s="96">
        <v>10029.0</v>
      </c>
      <c r="D217" s="98" t="s">
        <v>51</v>
      </c>
      <c r="E217" s="104"/>
      <c r="F217" s="99">
        <v>0.325</v>
      </c>
      <c r="G217" s="99">
        <v>0.7138888888888889</v>
      </c>
      <c r="H217" s="101"/>
      <c r="I217" s="92" t="str">
        <f>IFERROR(VLOOKUP(D217,'Công T5'!$C$7:$F$89,4,0),"")</f>
        <v>ĐT</v>
      </c>
      <c r="J217" s="92">
        <f t="shared" si="8"/>
        <v>0.325</v>
      </c>
      <c r="K217" s="92">
        <f t="shared" si="1"/>
        <v>0.7138888889</v>
      </c>
      <c r="L217" s="92" t="str">
        <f>IFERROR(VLOOKUP(D217,'Công T5'!$C$7:$F$89,2,0),"")</f>
        <v/>
      </c>
      <c r="M217" s="92" t="str">
        <f>IFERROR(VLOOKUP(D217,'Công T5'!$C$7:$F$89,3,0),"")</f>
        <v/>
      </c>
      <c r="N217" s="92">
        <f t="shared" si="9"/>
        <v>0.3333333333</v>
      </c>
      <c r="O217" s="92">
        <f t="shared" si="2"/>
        <v>0.7083333333</v>
      </c>
      <c r="P217" s="94">
        <f t="shared" si="3"/>
        <v>0.5</v>
      </c>
      <c r="Q217" s="94">
        <f t="shared" si="4"/>
        <v>0.5</v>
      </c>
      <c r="R217" s="95">
        <f t="shared" si="5"/>
        <v>1</v>
      </c>
      <c r="S217" s="95">
        <f t="shared" si="6"/>
        <v>0</v>
      </c>
      <c r="T217" s="95">
        <f t="shared" si="7"/>
        <v>0</v>
      </c>
    </row>
    <row r="218">
      <c r="A218" s="96">
        <v>213.0</v>
      </c>
      <c r="B218" s="97">
        <v>44704.0</v>
      </c>
      <c r="C218" s="96">
        <v>10029.0</v>
      </c>
      <c r="D218" s="98" t="s">
        <v>51</v>
      </c>
      <c r="E218" s="104"/>
      <c r="F218" s="99">
        <v>0.33125</v>
      </c>
      <c r="G218" s="99">
        <v>0.7118055555555556</v>
      </c>
      <c r="H218" s="101"/>
      <c r="I218" s="92" t="str">
        <f>IFERROR(VLOOKUP(D218,'Công T5'!$C$7:$F$89,4,0),"")</f>
        <v>ĐT</v>
      </c>
      <c r="J218" s="92">
        <f t="shared" si="8"/>
        <v>0.33125</v>
      </c>
      <c r="K218" s="92">
        <f t="shared" si="1"/>
        <v>0.7118055556</v>
      </c>
      <c r="L218" s="92" t="str">
        <f>IFERROR(VLOOKUP(D218,'Công T5'!$C$7:$F$89,2,0),"")</f>
        <v/>
      </c>
      <c r="M218" s="92" t="str">
        <f>IFERROR(VLOOKUP(D218,'Công T5'!$C$7:$F$89,3,0),"")</f>
        <v/>
      </c>
      <c r="N218" s="92">
        <f t="shared" si="9"/>
        <v>0.3333333333</v>
      </c>
      <c r="O218" s="92">
        <f t="shared" si="2"/>
        <v>0.7083333333</v>
      </c>
      <c r="P218" s="94">
        <f t="shared" si="3"/>
        <v>0.5</v>
      </c>
      <c r="Q218" s="94">
        <f t="shared" si="4"/>
        <v>0.5</v>
      </c>
      <c r="R218" s="95">
        <f t="shared" si="5"/>
        <v>1</v>
      </c>
      <c r="S218" s="95">
        <f t="shared" si="6"/>
        <v>0</v>
      </c>
      <c r="T218" s="95">
        <f t="shared" si="7"/>
        <v>0</v>
      </c>
    </row>
    <row r="219">
      <c r="A219" s="96">
        <v>214.0</v>
      </c>
      <c r="B219" s="97">
        <v>44705.0</v>
      </c>
      <c r="C219" s="96">
        <v>10029.0</v>
      </c>
      <c r="D219" s="98" t="s">
        <v>51</v>
      </c>
      <c r="E219" s="104"/>
      <c r="F219" s="99">
        <v>0.33819444444444446</v>
      </c>
      <c r="G219" s="99">
        <v>0.7111111111111111</v>
      </c>
      <c r="H219" s="101"/>
      <c r="I219" s="92" t="str">
        <f>IFERROR(VLOOKUP(D219,'Công T5'!$C$7:$F$89,4,0),"")</f>
        <v>ĐT</v>
      </c>
      <c r="J219" s="92">
        <f t="shared" si="8"/>
        <v>0.3381944444</v>
      </c>
      <c r="K219" s="92">
        <f t="shared" si="1"/>
        <v>0.7111111111</v>
      </c>
      <c r="L219" s="92" t="str">
        <f>IFERROR(VLOOKUP(D219,'Công T5'!$C$7:$F$89,2,0),"")</f>
        <v/>
      </c>
      <c r="M219" s="92" t="str">
        <f>IFERROR(VLOOKUP(D219,'Công T5'!$C$7:$F$89,3,0),"")</f>
        <v/>
      </c>
      <c r="N219" s="92">
        <f t="shared" si="9"/>
        <v>0.3333333333</v>
      </c>
      <c r="O219" s="92">
        <f t="shared" si="2"/>
        <v>0.7083333333</v>
      </c>
      <c r="P219" s="94">
        <f t="shared" si="3"/>
        <v>0.5</v>
      </c>
      <c r="Q219" s="94">
        <f t="shared" si="4"/>
        <v>0.5</v>
      </c>
      <c r="R219" s="95">
        <f t="shared" si="5"/>
        <v>1</v>
      </c>
      <c r="S219" s="95">
        <f t="shared" si="6"/>
        <v>1</v>
      </c>
      <c r="T219" s="95">
        <f t="shared" si="7"/>
        <v>0</v>
      </c>
    </row>
    <row r="220">
      <c r="A220" s="96">
        <v>215.0</v>
      </c>
      <c r="B220" s="97">
        <v>44706.0</v>
      </c>
      <c r="C220" s="96">
        <v>10029.0</v>
      </c>
      <c r="D220" s="98" t="s">
        <v>51</v>
      </c>
      <c r="E220" s="104"/>
      <c r="F220" s="99">
        <v>0.325</v>
      </c>
      <c r="G220" s="99">
        <v>0.7111111111111111</v>
      </c>
      <c r="H220" s="101"/>
      <c r="I220" s="92" t="str">
        <f>IFERROR(VLOOKUP(D220,'Công T5'!$C$7:$F$89,4,0),"")</f>
        <v>ĐT</v>
      </c>
      <c r="J220" s="92">
        <f t="shared" si="8"/>
        <v>0.325</v>
      </c>
      <c r="K220" s="92">
        <f t="shared" si="1"/>
        <v>0.7111111111</v>
      </c>
      <c r="L220" s="92" t="str">
        <f>IFERROR(VLOOKUP(D220,'Công T5'!$C$7:$F$89,2,0),"")</f>
        <v/>
      </c>
      <c r="M220" s="92" t="str">
        <f>IFERROR(VLOOKUP(D220,'Công T5'!$C$7:$F$89,3,0),"")</f>
        <v/>
      </c>
      <c r="N220" s="92">
        <f t="shared" si="9"/>
        <v>0.3333333333</v>
      </c>
      <c r="O220" s="92">
        <f t="shared" si="2"/>
        <v>0.7083333333</v>
      </c>
      <c r="P220" s="94">
        <f t="shared" si="3"/>
        <v>0.5</v>
      </c>
      <c r="Q220" s="94">
        <f t="shared" si="4"/>
        <v>0.5</v>
      </c>
      <c r="R220" s="95">
        <f t="shared" si="5"/>
        <v>1</v>
      </c>
      <c r="S220" s="95">
        <f t="shared" si="6"/>
        <v>0</v>
      </c>
      <c r="T220" s="95">
        <f t="shared" si="7"/>
        <v>0</v>
      </c>
    </row>
    <row r="221">
      <c r="A221" s="96">
        <v>216.0</v>
      </c>
      <c r="B221" s="97">
        <v>44677.0</v>
      </c>
      <c r="C221" s="96">
        <v>10384.0</v>
      </c>
      <c r="D221" s="98" t="s">
        <v>56</v>
      </c>
      <c r="E221" s="104"/>
      <c r="F221" s="99">
        <v>0.425</v>
      </c>
      <c r="G221" s="102"/>
      <c r="H221" s="101"/>
      <c r="I221" s="92" t="str">
        <f>IFERROR(VLOOKUP(D221,'Công T5'!$C$7:$F$89,4,0),"")</f>
        <v>QS</v>
      </c>
      <c r="J221" s="92">
        <f t="shared" si="8"/>
        <v>0.425</v>
      </c>
      <c r="K221" s="92" t="str">
        <f t="shared" si="1"/>
        <v/>
      </c>
      <c r="L221" s="92" t="str">
        <f>IFERROR(VLOOKUP(D221,'Công T5'!$C$7:$F$89,2,0),"")</f>
        <v/>
      </c>
      <c r="M221" s="92" t="str">
        <f>IFERROR(VLOOKUP(D221,'Công T5'!$C$7:$F$89,3,0),"")</f>
        <v/>
      </c>
      <c r="N221" s="92">
        <f t="shared" si="9"/>
        <v>0.425</v>
      </c>
      <c r="O221" s="92" t="str">
        <f t="shared" si="2"/>
        <v/>
      </c>
      <c r="P221" s="94">
        <f t="shared" si="3"/>
        <v>0</v>
      </c>
      <c r="Q221" s="94" t="str">
        <f t="shared" si="4"/>
        <v/>
      </c>
      <c r="R221" s="95">
        <f t="shared" si="5"/>
        <v>0.5</v>
      </c>
      <c r="S221" s="95" t="str">
        <f t="shared" si="6"/>
        <v/>
      </c>
      <c r="T221" s="95">
        <f t="shared" si="7"/>
        <v>1</v>
      </c>
    </row>
    <row r="222">
      <c r="A222" s="96">
        <v>217.0</v>
      </c>
      <c r="B222" s="97">
        <v>44678.0</v>
      </c>
      <c r="C222" s="96">
        <v>10384.0</v>
      </c>
      <c r="D222" s="98" t="s">
        <v>56</v>
      </c>
      <c r="E222" s="104"/>
      <c r="F222" s="99">
        <v>0.38680555555555557</v>
      </c>
      <c r="G222" s="102"/>
      <c r="H222" s="101"/>
      <c r="I222" s="92" t="str">
        <f>IFERROR(VLOOKUP(D222,'Công T5'!$C$7:$F$89,4,0),"")</f>
        <v>QS</v>
      </c>
      <c r="J222" s="92">
        <f t="shared" si="8"/>
        <v>0.3868055556</v>
      </c>
      <c r="K222" s="92" t="str">
        <f t="shared" si="1"/>
        <v/>
      </c>
      <c r="L222" s="92" t="str">
        <f>IFERROR(VLOOKUP(D222,'Công T5'!$C$7:$F$89,2,0),"")</f>
        <v/>
      </c>
      <c r="M222" s="92" t="str">
        <f>IFERROR(VLOOKUP(D222,'Công T5'!$C$7:$F$89,3,0),"")</f>
        <v/>
      </c>
      <c r="N222" s="92">
        <f t="shared" si="9"/>
        <v>0.3868055556</v>
      </c>
      <c r="O222" s="92" t="str">
        <f t="shared" si="2"/>
        <v/>
      </c>
      <c r="P222" s="94">
        <f t="shared" si="3"/>
        <v>0</v>
      </c>
      <c r="Q222" s="94" t="str">
        <f t="shared" si="4"/>
        <v/>
      </c>
      <c r="R222" s="95">
        <f t="shared" si="5"/>
        <v>0.5</v>
      </c>
      <c r="S222" s="95" t="str">
        <f t="shared" si="6"/>
        <v/>
      </c>
      <c r="T222" s="95">
        <f t="shared" si="7"/>
        <v>1</v>
      </c>
    </row>
    <row r="223">
      <c r="A223" s="96">
        <v>218.0</v>
      </c>
      <c r="B223" s="97">
        <v>44684.0</v>
      </c>
      <c r="C223" s="96">
        <v>10384.0</v>
      </c>
      <c r="D223" s="98" t="s">
        <v>56</v>
      </c>
      <c r="E223" s="104"/>
      <c r="F223" s="99">
        <v>0.4125</v>
      </c>
      <c r="G223" s="102"/>
      <c r="H223" s="101"/>
      <c r="I223" s="92" t="str">
        <f>IFERROR(VLOOKUP(D223,'Công T5'!$C$7:$F$89,4,0),"")</f>
        <v>QS</v>
      </c>
      <c r="J223" s="92">
        <f t="shared" si="8"/>
        <v>0.4125</v>
      </c>
      <c r="K223" s="92" t="str">
        <f t="shared" si="1"/>
        <v/>
      </c>
      <c r="L223" s="92" t="str">
        <f>IFERROR(VLOOKUP(D223,'Công T5'!$C$7:$F$89,2,0),"")</f>
        <v/>
      </c>
      <c r="M223" s="92" t="str">
        <f>IFERROR(VLOOKUP(D223,'Công T5'!$C$7:$F$89,3,0),"")</f>
        <v/>
      </c>
      <c r="N223" s="92">
        <f t="shared" si="9"/>
        <v>0.4125</v>
      </c>
      <c r="O223" s="92" t="str">
        <f t="shared" si="2"/>
        <v/>
      </c>
      <c r="P223" s="94">
        <f t="shared" si="3"/>
        <v>0</v>
      </c>
      <c r="Q223" s="94" t="str">
        <f t="shared" si="4"/>
        <v/>
      </c>
      <c r="R223" s="95">
        <f t="shared" si="5"/>
        <v>0.5</v>
      </c>
      <c r="S223" s="95" t="str">
        <f t="shared" si="6"/>
        <v/>
      </c>
      <c r="T223" s="95">
        <f t="shared" si="7"/>
        <v>1</v>
      </c>
    </row>
    <row r="224">
      <c r="A224" s="96">
        <v>219.0</v>
      </c>
      <c r="B224" s="97">
        <v>44685.0</v>
      </c>
      <c r="C224" s="96">
        <v>10384.0</v>
      </c>
      <c r="D224" s="98" t="s">
        <v>56</v>
      </c>
      <c r="E224" s="104"/>
      <c r="F224" s="99">
        <v>0.3145833333333333</v>
      </c>
      <c r="G224" s="99">
        <v>0.8048611111111111</v>
      </c>
      <c r="H224" s="101"/>
      <c r="I224" s="92" t="str">
        <f>IFERROR(VLOOKUP(D224,'Công T5'!$C$7:$F$89,4,0),"")</f>
        <v>QS</v>
      </c>
      <c r="J224" s="92">
        <f t="shared" si="8"/>
        <v>0.3145833333</v>
      </c>
      <c r="K224" s="92">
        <f t="shared" si="1"/>
        <v>0.8048611111</v>
      </c>
      <c r="L224" s="92" t="str">
        <f>IFERROR(VLOOKUP(D224,'Công T5'!$C$7:$F$89,2,0),"")</f>
        <v/>
      </c>
      <c r="M224" s="92" t="str">
        <f>IFERROR(VLOOKUP(D224,'Công T5'!$C$7:$F$89,3,0),"")</f>
        <v/>
      </c>
      <c r="N224" s="92">
        <f t="shared" si="9"/>
        <v>0.3333333333</v>
      </c>
      <c r="O224" s="92">
        <f t="shared" si="2"/>
        <v>0.7083333333</v>
      </c>
      <c r="P224" s="94">
        <f t="shared" si="3"/>
        <v>0.5</v>
      </c>
      <c r="Q224" s="94">
        <f t="shared" si="4"/>
        <v>0.5</v>
      </c>
      <c r="R224" s="95">
        <f t="shared" si="5"/>
        <v>1</v>
      </c>
      <c r="S224" s="95">
        <f t="shared" si="6"/>
        <v>0</v>
      </c>
      <c r="T224" s="95">
        <f t="shared" si="7"/>
        <v>0</v>
      </c>
    </row>
    <row r="225">
      <c r="A225" s="96">
        <v>220.0</v>
      </c>
      <c r="B225" s="97">
        <v>44686.0</v>
      </c>
      <c r="C225" s="96">
        <v>10384.0</v>
      </c>
      <c r="D225" s="98" t="s">
        <v>56</v>
      </c>
      <c r="E225" s="104"/>
      <c r="F225" s="99">
        <v>0.30694444444444446</v>
      </c>
      <c r="G225" s="99">
        <v>0.7784722222222222</v>
      </c>
      <c r="H225" s="101"/>
      <c r="I225" s="92" t="str">
        <f>IFERROR(VLOOKUP(D225,'Công T5'!$C$7:$F$89,4,0),"")</f>
        <v>QS</v>
      </c>
      <c r="J225" s="92">
        <f t="shared" si="8"/>
        <v>0.3069444444</v>
      </c>
      <c r="K225" s="92">
        <f t="shared" si="1"/>
        <v>0.7784722222</v>
      </c>
      <c r="L225" s="92" t="str">
        <f>IFERROR(VLOOKUP(D225,'Công T5'!$C$7:$F$89,2,0),"")</f>
        <v/>
      </c>
      <c r="M225" s="92" t="str">
        <f>IFERROR(VLOOKUP(D225,'Công T5'!$C$7:$F$89,3,0),"")</f>
        <v/>
      </c>
      <c r="N225" s="92">
        <f t="shared" si="9"/>
        <v>0.3333333333</v>
      </c>
      <c r="O225" s="92">
        <f t="shared" si="2"/>
        <v>0.7083333333</v>
      </c>
      <c r="P225" s="94">
        <f t="shared" si="3"/>
        <v>0.5</v>
      </c>
      <c r="Q225" s="94">
        <f t="shared" si="4"/>
        <v>0.5</v>
      </c>
      <c r="R225" s="95">
        <f t="shared" si="5"/>
        <v>1</v>
      </c>
      <c r="S225" s="95">
        <f t="shared" si="6"/>
        <v>0</v>
      </c>
      <c r="T225" s="95">
        <f t="shared" si="7"/>
        <v>0</v>
      </c>
    </row>
    <row r="226">
      <c r="A226" s="96">
        <v>221.0</v>
      </c>
      <c r="B226" s="103">
        <v>44687.0</v>
      </c>
      <c r="C226" s="96">
        <v>10384.0</v>
      </c>
      <c r="D226" s="98" t="s">
        <v>56</v>
      </c>
      <c r="E226" s="104"/>
      <c r="F226" s="99">
        <v>0.27291666666666664</v>
      </c>
      <c r="G226" s="99">
        <v>0.8180555555555555</v>
      </c>
      <c r="H226" s="101"/>
      <c r="I226" s="92" t="str">
        <f>IFERROR(VLOOKUP(D226,'Công T5'!$C$7:$F$89,4,0),"")</f>
        <v>QS</v>
      </c>
      <c r="J226" s="92">
        <f t="shared" si="8"/>
        <v>0.2729166667</v>
      </c>
      <c r="K226" s="92">
        <f t="shared" si="1"/>
        <v>0.8180555556</v>
      </c>
      <c r="L226" s="92" t="str">
        <f>IFERROR(VLOOKUP(D226,'Công T5'!$C$7:$F$89,2,0),"")</f>
        <v/>
      </c>
      <c r="M226" s="92" t="str">
        <f>IFERROR(VLOOKUP(D226,'Công T5'!$C$7:$F$89,3,0),"")</f>
        <v/>
      </c>
      <c r="N226" s="92">
        <f t="shared" si="9"/>
        <v>0.3333333333</v>
      </c>
      <c r="O226" s="92">
        <f t="shared" si="2"/>
        <v>0.7083333333</v>
      </c>
      <c r="P226" s="94">
        <f t="shared" si="3"/>
        <v>0.5</v>
      </c>
      <c r="Q226" s="94">
        <f t="shared" si="4"/>
        <v>0.5</v>
      </c>
      <c r="R226" s="95">
        <f t="shared" si="5"/>
        <v>1</v>
      </c>
      <c r="S226" s="95">
        <f t="shared" si="6"/>
        <v>0</v>
      </c>
      <c r="T226" s="95">
        <f t="shared" si="7"/>
        <v>0</v>
      </c>
    </row>
    <row r="227">
      <c r="A227" s="96">
        <v>222.0</v>
      </c>
      <c r="B227" s="97">
        <v>44690.0</v>
      </c>
      <c r="C227" s="96">
        <v>10384.0</v>
      </c>
      <c r="D227" s="98" t="s">
        <v>56</v>
      </c>
      <c r="E227" s="104"/>
      <c r="F227" s="99">
        <v>0.28402777777777777</v>
      </c>
      <c r="G227" s="99">
        <v>0.775</v>
      </c>
      <c r="H227" s="101"/>
      <c r="I227" s="92" t="str">
        <f>IFERROR(VLOOKUP(D227,'Công T5'!$C$7:$F$89,4,0),"")</f>
        <v>QS</v>
      </c>
      <c r="J227" s="92">
        <f t="shared" si="8"/>
        <v>0.2840277778</v>
      </c>
      <c r="K227" s="92">
        <f t="shared" si="1"/>
        <v>0.775</v>
      </c>
      <c r="L227" s="92" t="str">
        <f>IFERROR(VLOOKUP(D227,'Công T5'!$C$7:$F$89,2,0),"")</f>
        <v/>
      </c>
      <c r="M227" s="92" t="str">
        <f>IFERROR(VLOOKUP(D227,'Công T5'!$C$7:$F$89,3,0),"")</f>
        <v/>
      </c>
      <c r="N227" s="92">
        <f t="shared" si="9"/>
        <v>0.3333333333</v>
      </c>
      <c r="O227" s="92">
        <f t="shared" si="2"/>
        <v>0.7083333333</v>
      </c>
      <c r="P227" s="94">
        <f t="shared" si="3"/>
        <v>0.5</v>
      </c>
      <c r="Q227" s="94">
        <f t="shared" si="4"/>
        <v>0.5</v>
      </c>
      <c r="R227" s="95">
        <f t="shared" si="5"/>
        <v>1</v>
      </c>
      <c r="S227" s="95">
        <f t="shared" si="6"/>
        <v>0</v>
      </c>
      <c r="T227" s="95">
        <f t="shared" si="7"/>
        <v>0</v>
      </c>
    </row>
    <row r="228">
      <c r="A228" s="96">
        <v>223.0</v>
      </c>
      <c r="B228" s="97">
        <v>44691.0</v>
      </c>
      <c r="C228" s="96">
        <v>10384.0</v>
      </c>
      <c r="D228" s="98" t="s">
        <v>56</v>
      </c>
      <c r="E228" s="104"/>
      <c r="F228" s="99">
        <v>0.3034722222222222</v>
      </c>
      <c r="G228" s="99">
        <v>0.8180555555555555</v>
      </c>
      <c r="H228" s="101"/>
      <c r="I228" s="92" t="str">
        <f>IFERROR(VLOOKUP(D228,'Công T5'!$C$7:$F$89,4,0),"")</f>
        <v>QS</v>
      </c>
      <c r="J228" s="92">
        <f t="shared" si="8"/>
        <v>0.3034722222</v>
      </c>
      <c r="K228" s="92">
        <f t="shared" si="1"/>
        <v>0.8180555556</v>
      </c>
      <c r="L228" s="92" t="str">
        <f>IFERROR(VLOOKUP(D228,'Công T5'!$C$7:$F$89,2,0),"")</f>
        <v/>
      </c>
      <c r="M228" s="92" t="str">
        <f>IFERROR(VLOOKUP(D228,'Công T5'!$C$7:$F$89,3,0),"")</f>
        <v/>
      </c>
      <c r="N228" s="92">
        <f t="shared" si="9"/>
        <v>0.3333333333</v>
      </c>
      <c r="O228" s="92">
        <f t="shared" si="2"/>
        <v>0.7083333333</v>
      </c>
      <c r="P228" s="94">
        <f t="shared" si="3"/>
        <v>0.5</v>
      </c>
      <c r="Q228" s="94">
        <f t="shared" si="4"/>
        <v>0.5</v>
      </c>
      <c r="R228" s="95">
        <f t="shared" si="5"/>
        <v>1</v>
      </c>
      <c r="S228" s="95">
        <f t="shared" si="6"/>
        <v>0</v>
      </c>
      <c r="T228" s="95">
        <f t="shared" si="7"/>
        <v>0</v>
      </c>
    </row>
    <row r="229">
      <c r="A229" s="96">
        <v>224.0</v>
      </c>
      <c r="B229" s="97">
        <v>44692.0</v>
      </c>
      <c r="C229" s="96">
        <v>10384.0</v>
      </c>
      <c r="D229" s="98" t="s">
        <v>56</v>
      </c>
      <c r="E229" s="104"/>
      <c r="F229" s="99">
        <v>0.2777777777777778</v>
      </c>
      <c r="G229" s="99">
        <v>0.7583333333333333</v>
      </c>
      <c r="H229" s="101"/>
      <c r="I229" s="92" t="str">
        <f>IFERROR(VLOOKUP(D229,'Công T5'!$C$7:$F$89,4,0),"")</f>
        <v>QS</v>
      </c>
      <c r="J229" s="92">
        <f t="shared" si="8"/>
        <v>0.2777777778</v>
      </c>
      <c r="K229" s="92">
        <f t="shared" si="1"/>
        <v>0.7583333333</v>
      </c>
      <c r="L229" s="92" t="str">
        <f>IFERROR(VLOOKUP(D229,'Công T5'!$C$7:$F$89,2,0),"")</f>
        <v/>
      </c>
      <c r="M229" s="92" t="str">
        <f>IFERROR(VLOOKUP(D229,'Công T5'!$C$7:$F$89,3,0),"")</f>
        <v/>
      </c>
      <c r="N229" s="92">
        <f t="shared" si="9"/>
        <v>0.3333333333</v>
      </c>
      <c r="O229" s="92">
        <f t="shared" si="2"/>
        <v>0.7083333333</v>
      </c>
      <c r="P229" s="94">
        <f t="shared" si="3"/>
        <v>0.5</v>
      </c>
      <c r="Q229" s="94">
        <f t="shared" si="4"/>
        <v>0.5</v>
      </c>
      <c r="R229" s="95">
        <f t="shared" si="5"/>
        <v>1</v>
      </c>
      <c r="S229" s="95">
        <f t="shared" si="6"/>
        <v>0</v>
      </c>
      <c r="T229" s="95">
        <f t="shared" si="7"/>
        <v>0</v>
      </c>
    </row>
    <row r="230">
      <c r="A230" s="96">
        <v>225.0</v>
      </c>
      <c r="B230" s="97">
        <v>44693.0</v>
      </c>
      <c r="C230" s="96">
        <v>10384.0</v>
      </c>
      <c r="D230" s="98" t="s">
        <v>56</v>
      </c>
      <c r="E230" s="104"/>
      <c r="F230" s="99">
        <v>0.26944444444444443</v>
      </c>
      <c r="G230" s="99">
        <v>0.8201388888888889</v>
      </c>
      <c r="H230" s="100"/>
      <c r="I230" s="92" t="str">
        <f>IFERROR(VLOOKUP(D230,'Công T5'!$C$7:$F$89,4,0),"")</f>
        <v>QS</v>
      </c>
      <c r="J230" s="92">
        <f t="shared" si="8"/>
        <v>0.2694444444</v>
      </c>
      <c r="K230" s="92">
        <f t="shared" si="1"/>
        <v>0.8201388889</v>
      </c>
      <c r="L230" s="92" t="str">
        <f>IFERROR(VLOOKUP(D230,'Công T5'!$C$7:$F$89,2,0),"")</f>
        <v/>
      </c>
      <c r="M230" s="92" t="str">
        <f>IFERROR(VLOOKUP(D230,'Công T5'!$C$7:$F$89,3,0),"")</f>
        <v/>
      </c>
      <c r="N230" s="92">
        <f t="shared" si="9"/>
        <v>0.3333333333</v>
      </c>
      <c r="O230" s="92">
        <f t="shared" si="2"/>
        <v>0.7083333333</v>
      </c>
      <c r="P230" s="94">
        <f t="shared" si="3"/>
        <v>0.5</v>
      </c>
      <c r="Q230" s="94">
        <f t="shared" si="4"/>
        <v>0.5</v>
      </c>
      <c r="R230" s="95">
        <f t="shared" si="5"/>
        <v>1</v>
      </c>
      <c r="S230" s="95">
        <f t="shared" si="6"/>
        <v>0</v>
      </c>
      <c r="T230" s="95">
        <f t="shared" si="7"/>
        <v>0</v>
      </c>
    </row>
    <row r="231">
      <c r="A231" s="96">
        <v>226.0</v>
      </c>
      <c r="B231" s="97">
        <v>44694.0</v>
      </c>
      <c r="C231" s="96">
        <v>10384.0</v>
      </c>
      <c r="D231" s="98" t="s">
        <v>56</v>
      </c>
      <c r="E231" s="104"/>
      <c r="F231" s="99">
        <v>0.2791666666666667</v>
      </c>
      <c r="G231" s="99">
        <v>0.8111111111111111</v>
      </c>
      <c r="H231" s="100"/>
      <c r="I231" s="92" t="str">
        <f>IFERROR(VLOOKUP(D231,'Công T5'!$C$7:$F$89,4,0),"")</f>
        <v>QS</v>
      </c>
      <c r="J231" s="92">
        <f t="shared" si="8"/>
        <v>0.2791666667</v>
      </c>
      <c r="K231" s="92">
        <f t="shared" si="1"/>
        <v>0.8111111111</v>
      </c>
      <c r="L231" s="92" t="str">
        <f>IFERROR(VLOOKUP(D231,'Công T5'!$C$7:$F$89,2,0),"")</f>
        <v/>
      </c>
      <c r="M231" s="92" t="str">
        <f>IFERROR(VLOOKUP(D231,'Công T5'!$C$7:$F$89,3,0),"")</f>
        <v/>
      </c>
      <c r="N231" s="92">
        <f t="shared" si="9"/>
        <v>0.3333333333</v>
      </c>
      <c r="O231" s="92">
        <f t="shared" si="2"/>
        <v>0.7083333333</v>
      </c>
      <c r="P231" s="94">
        <f t="shared" si="3"/>
        <v>0.5</v>
      </c>
      <c r="Q231" s="94">
        <f t="shared" si="4"/>
        <v>0.5</v>
      </c>
      <c r="R231" s="95">
        <f t="shared" si="5"/>
        <v>1</v>
      </c>
      <c r="S231" s="95">
        <f t="shared" si="6"/>
        <v>0</v>
      </c>
      <c r="T231" s="95">
        <f t="shared" si="7"/>
        <v>0</v>
      </c>
    </row>
    <row r="232">
      <c r="A232" s="96">
        <v>227.0</v>
      </c>
      <c r="B232" s="97">
        <v>44695.0</v>
      </c>
      <c r="C232" s="96">
        <v>10384.0</v>
      </c>
      <c r="D232" s="98" t="s">
        <v>56</v>
      </c>
      <c r="E232" s="104"/>
      <c r="F232" s="99">
        <v>0.38055555555555554</v>
      </c>
      <c r="G232" s="99">
        <v>0.8284722222222223</v>
      </c>
      <c r="H232" s="101"/>
      <c r="I232" s="92" t="str">
        <f>IFERROR(VLOOKUP(D232,'Công T5'!$C$7:$F$89,4,0),"")</f>
        <v>QS</v>
      </c>
      <c r="J232" s="92">
        <f t="shared" si="8"/>
        <v>0.3805555556</v>
      </c>
      <c r="K232" s="92">
        <f t="shared" si="1"/>
        <v>0.8284722222</v>
      </c>
      <c r="L232" s="92" t="str">
        <f>IFERROR(VLOOKUP(D232,'Công T5'!$C$7:$F$89,2,0),"")</f>
        <v/>
      </c>
      <c r="M232" s="92" t="str">
        <f>IFERROR(VLOOKUP(D232,'Công T5'!$C$7:$F$89,3,0),"")</f>
        <v/>
      </c>
      <c r="N232" s="92">
        <f t="shared" si="9"/>
        <v>0.3805555556</v>
      </c>
      <c r="O232" s="92">
        <f t="shared" si="2"/>
        <v>0.7083333333</v>
      </c>
      <c r="P232" s="94">
        <f t="shared" si="3"/>
        <v>0.3583333333</v>
      </c>
      <c r="Q232" s="94">
        <f t="shared" si="4"/>
        <v>0.5</v>
      </c>
      <c r="R232" s="95">
        <f t="shared" si="5"/>
        <v>0.8583333333</v>
      </c>
      <c r="S232" s="95">
        <f t="shared" si="6"/>
        <v>1</v>
      </c>
      <c r="T232" s="95">
        <f t="shared" si="7"/>
        <v>0</v>
      </c>
    </row>
    <row r="233">
      <c r="A233" s="96">
        <v>228.0</v>
      </c>
      <c r="B233" s="97">
        <v>44696.0</v>
      </c>
      <c r="C233" s="96">
        <v>10384.0</v>
      </c>
      <c r="D233" s="98" t="s">
        <v>56</v>
      </c>
      <c r="E233" s="104"/>
      <c r="F233" s="99">
        <v>0.2513888888888889</v>
      </c>
      <c r="G233" s="99">
        <v>0.7013888888888888</v>
      </c>
      <c r="H233" s="100"/>
      <c r="I233" s="92" t="str">
        <f>IFERROR(VLOOKUP(D233,'Công T5'!$C$7:$F$89,4,0),"")</f>
        <v>QS</v>
      </c>
      <c r="J233" s="92">
        <f t="shared" si="8"/>
        <v>0.2513888889</v>
      </c>
      <c r="K233" s="92">
        <f t="shared" si="1"/>
        <v>0.7013888889</v>
      </c>
      <c r="L233" s="92" t="str">
        <f>IFERROR(VLOOKUP(D233,'Công T5'!$C$7:$F$89,2,0),"")</f>
        <v/>
      </c>
      <c r="M233" s="92" t="str">
        <f>IFERROR(VLOOKUP(D233,'Công T5'!$C$7:$F$89,3,0),"")</f>
        <v/>
      </c>
      <c r="N233" s="92">
        <f t="shared" si="9"/>
        <v>0.3333333333</v>
      </c>
      <c r="O233" s="92">
        <f t="shared" si="2"/>
        <v>0.7013888889</v>
      </c>
      <c r="P233" s="94">
        <f t="shared" si="3"/>
        <v>0.5</v>
      </c>
      <c r="Q233" s="94">
        <f t="shared" si="4"/>
        <v>0.4791666667</v>
      </c>
      <c r="R233" s="95">
        <f t="shared" si="5"/>
        <v>0.9791666667</v>
      </c>
      <c r="S233" s="95">
        <f t="shared" si="6"/>
        <v>0</v>
      </c>
      <c r="T233" s="95">
        <f t="shared" si="7"/>
        <v>0</v>
      </c>
    </row>
    <row r="234">
      <c r="A234" s="96">
        <v>229.0</v>
      </c>
      <c r="B234" s="97">
        <v>44697.0</v>
      </c>
      <c r="C234" s="96">
        <v>10384.0</v>
      </c>
      <c r="D234" s="98" t="s">
        <v>56</v>
      </c>
      <c r="E234" s="104"/>
      <c r="F234" s="99">
        <v>0.3277777777777778</v>
      </c>
      <c r="G234" s="99">
        <v>0.7659722222222223</v>
      </c>
      <c r="H234" s="101"/>
      <c r="I234" s="92" t="str">
        <f>IFERROR(VLOOKUP(D234,'Công T5'!$C$7:$F$89,4,0),"")</f>
        <v>QS</v>
      </c>
      <c r="J234" s="92">
        <f t="shared" si="8"/>
        <v>0.3277777778</v>
      </c>
      <c r="K234" s="92">
        <f t="shared" si="1"/>
        <v>0.7659722222</v>
      </c>
      <c r="L234" s="92" t="str">
        <f>IFERROR(VLOOKUP(D234,'Công T5'!$C$7:$F$89,2,0),"")</f>
        <v/>
      </c>
      <c r="M234" s="92" t="str">
        <f>IFERROR(VLOOKUP(D234,'Công T5'!$C$7:$F$89,3,0),"")</f>
        <v/>
      </c>
      <c r="N234" s="92">
        <f t="shared" si="9"/>
        <v>0.3333333333</v>
      </c>
      <c r="O234" s="92">
        <f t="shared" si="2"/>
        <v>0.7083333333</v>
      </c>
      <c r="P234" s="94">
        <f t="shared" si="3"/>
        <v>0.5</v>
      </c>
      <c r="Q234" s="94">
        <f t="shared" si="4"/>
        <v>0.5</v>
      </c>
      <c r="R234" s="95">
        <f t="shared" si="5"/>
        <v>1</v>
      </c>
      <c r="S234" s="95">
        <f t="shared" si="6"/>
        <v>0</v>
      </c>
      <c r="T234" s="95">
        <f t="shared" si="7"/>
        <v>0</v>
      </c>
    </row>
    <row r="235">
      <c r="A235" s="96">
        <v>230.0</v>
      </c>
      <c r="B235" s="97">
        <v>44698.0</v>
      </c>
      <c r="C235" s="96">
        <v>10384.0</v>
      </c>
      <c r="D235" s="98" t="s">
        <v>56</v>
      </c>
      <c r="E235" s="104"/>
      <c r="F235" s="99">
        <v>0.24375</v>
      </c>
      <c r="G235" s="99">
        <v>0.7194444444444444</v>
      </c>
      <c r="H235" s="101"/>
      <c r="I235" s="92" t="str">
        <f>IFERROR(VLOOKUP(D235,'Công T5'!$C$7:$F$89,4,0),"")</f>
        <v>QS</v>
      </c>
      <c r="J235" s="92">
        <f t="shared" si="8"/>
        <v>0.24375</v>
      </c>
      <c r="K235" s="92">
        <f t="shared" si="1"/>
        <v>0.7868055556</v>
      </c>
      <c r="L235" s="92" t="str">
        <f>IFERROR(VLOOKUP(D235,'Công T5'!$C$7:$F$89,2,0),"")</f>
        <v/>
      </c>
      <c r="M235" s="92" t="str">
        <f>IFERROR(VLOOKUP(D235,'Công T5'!$C$7:$F$89,3,0),"")</f>
        <v/>
      </c>
      <c r="N235" s="92">
        <f t="shared" si="9"/>
        <v>0.3333333333</v>
      </c>
      <c r="O235" s="92">
        <f t="shared" si="2"/>
        <v>0.7083333333</v>
      </c>
      <c r="P235" s="94">
        <f t="shared" si="3"/>
        <v>0.5</v>
      </c>
      <c r="Q235" s="94">
        <f t="shared" si="4"/>
        <v>0.5</v>
      </c>
      <c r="R235" s="95">
        <f t="shared" si="5"/>
        <v>1</v>
      </c>
      <c r="S235" s="95">
        <f t="shared" si="6"/>
        <v>0</v>
      </c>
      <c r="T235" s="95">
        <f t="shared" si="7"/>
        <v>0</v>
      </c>
    </row>
    <row r="236">
      <c r="A236" s="96">
        <v>231.0</v>
      </c>
      <c r="B236" s="97">
        <v>44698.0</v>
      </c>
      <c r="C236" s="96">
        <v>10384.0</v>
      </c>
      <c r="D236" s="98" t="s">
        <v>56</v>
      </c>
      <c r="E236" s="104"/>
      <c r="F236" s="99">
        <v>0.7868055555555555</v>
      </c>
      <c r="G236" s="102"/>
      <c r="H236" s="101"/>
      <c r="I236" s="92" t="str">
        <f>IFERROR(VLOOKUP(D236,'Công T5'!$C$7:$F$89,4,0),"")</f>
        <v>QS</v>
      </c>
      <c r="J236" s="92">
        <f t="shared" si="8"/>
        <v>0.7868055556</v>
      </c>
      <c r="K236" s="92" t="str">
        <f t="shared" si="1"/>
        <v/>
      </c>
      <c r="L236" s="92" t="str">
        <f>IFERROR(VLOOKUP(D236,'Công T5'!$C$7:$F$89,2,0),"")</f>
        <v/>
      </c>
      <c r="M236" s="92" t="str">
        <f>IFERROR(VLOOKUP(D236,'Công T5'!$C$7:$F$89,3,0),"")</f>
        <v/>
      </c>
      <c r="N236" s="92">
        <f t="shared" si="9"/>
        <v>0.7868055556</v>
      </c>
      <c r="O236" s="92" t="str">
        <f t="shared" si="2"/>
        <v/>
      </c>
      <c r="P236" s="94">
        <f t="shared" si="3"/>
        <v>0</v>
      </c>
      <c r="Q236" s="94" t="str">
        <f t="shared" si="4"/>
        <v/>
      </c>
      <c r="R236" s="95">
        <f t="shared" si="5"/>
        <v>0.5</v>
      </c>
      <c r="S236" s="95" t="str">
        <f t="shared" si="6"/>
        <v/>
      </c>
      <c r="T236" s="95">
        <f t="shared" si="7"/>
        <v>1</v>
      </c>
    </row>
    <row r="237">
      <c r="A237" s="96">
        <v>232.0</v>
      </c>
      <c r="B237" s="97">
        <v>44699.0</v>
      </c>
      <c r="C237" s="96">
        <v>10384.0</v>
      </c>
      <c r="D237" s="98" t="s">
        <v>56</v>
      </c>
      <c r="E237" s="104"/>
      <c r="F237" s="99">
        <v>0.20277777777777778</v>
      </c>
      <c r="G237" s="99">
        <v>0.27361111111111114</v>
      </c>
      <c r="H237" s="101"/>
      <c r="I237" s="92" t="str">
        <f>IFERROR(VLOOKUP(D237,'Công T5'!$C$7:$F$89,4,0),"")</f>
        <v>QS</v>
      </c>
      <c r="J237" s="92">
        <f t="shared" si="8"/>
        <v>0.2027777778</v>
      </c>
      <c r="K237" s="92">
        <f t="shared" si="1"/>
        <v>0.7979166667</v>
      </c>
      <c r="L237" s="92" t="str">
        <f>IFERROR(VLOOKUP(D237,'Công T5'!$C$7:$F$89,2,0),"")</f>
        <v/>
      </c>
      <c r="M237" s="92" t="str">
        <f>IFERROR(VLOOKUP(D237,'Công T5'!$C$7:$F$89,3,0),"")</f>
        <v/>
      </c>
      <c r="N237" s="92">
        <f t="shared" si="9"/>
        <v>0.3333333333</v>
      </c>
      <c r="O237" s="92">
        <f t="shared" si="2"/>
        <v>0.7083333333</v>
      </c>
      <c r="P237" s="94">
        <f t="shared" si="3"/>
        <v>0.5</v>
      </c>
      <c r="Q237" s="94">
        <f t="shared" si="4"/>
        <v>0.5</v>
      </c>
      <c r="R237" s="95">
        <f t="shared" si="5"/>
        <v>1</v>
      </c>
      <c r="S237" s="95">
        <f t="shared" si="6"/>
        <v>0</v>
      </c>
      <c r="T237" s="95">
        <f t="shared" si="7"/>
        <v>0</v>
      </c>
    </row>
    <row r="238">
      <c r="A238" s="96">
        <v>233.0</v>
      </c>
      <c r="B238" s="97">
        <v>44699.0</v>
      </c>
      <c r="C238" s="96">
        <v>10384.0</v>
      </c>
      <c r="D238" s="98" t="s">
        <v>56</v>
      </c>
      <c r="E238" s="104"/>
      <c r="F238" s="99">
        <v>0.7979166666666667</v>
      </c>
      <c r="G238" s="102"/>
      <c r="H238" s="101"/>
      <c r="I238" s="92" t="str">
        <f>IFERROR(VLOOKUP(D238,'Công T5'!$C$7:$F$89,4,0),"")</f>
        <v>QS</v>
      </c>
      <c r="J238" s="92">
        <f t="shared" si="8"/>
        <v>0.7979166667</v>
      </c>
      <c r="K238" s="92" t="str">
        <f t="shared" si="1"/>
        <v/>
      </c>
      <c r="L238" s="92" t="str">
        <f>IFERROR(VLOOKUP(D238,'Công T5'!$C$7:$F$89,2,0),"")</f>
        <v/>
      </c>
      <c r="M238" s="92" t="str">
        <f>IFERROR(VLOOKUP(D238,'Công T5'!$C$7:$F$89,3,0),"")</f>
        <v/>
      </c>
      <c r="N238" s="92">
        <f t="shared" si="9"/>
        <v>0.7979166667</v>
      </c>
      <c r="O238" s="92" t="str">
        <f t="shared" si="2"/>
        <v/>
      </c>
      <c r="P238" s="94">
        <f t="shared" si="3"/>
        <v>0</v>
      </c>
      <c r="Q238" s="94" t="str">
        <f t="shared" si="4"/>
        <v/>
      </c>
      <c r="R238" s="95">
        <f t="shared" si="5"/>
        <v>0.5</v>
      </c>
      <c r="S238" s="95" t="str">
        <f t="shared" si="6"/>
        <v/>
      </c>
      <c r="T238" s="95">
        <f t="shared" si="7"/>
        <v>1</v>
      </c>
    </row>
    <row r="239">
      <c r="A239" s="96">
        <v>234.0</v>
      </c>
      <c r="B239" s="97">
        <v>44700.0</v>
      </c>
      <c r="C239" s="96">
        <v>10384.0</v>
      </c>
      <c r="D239" s="98" t="s">
        <v>56</v>
      </c>
      <c r="E239" s="104"/>
      <c r="F239" s="99">
        <v>0.20069444444444445</v>
      </c>
      <c r="G239" s="102"/>
      <c r="H239" s="101"/>
      <c r="I239" s="92" t="str">
        <f>IFERROR(VLOOKUP(D239,'Công T5'!$C$7:$F$89,4,0),"")</f>
        <v>QS</v>
      </c>
      <c r="J239" s="92">
        <f t="shared" si="8"/>
        <v>0.2006944444</v>
      </c>
      <c r="K239" s="92" t="str">
        <f t="shared" si="1"/>
        <v/>
      </c>
      <c r="L239" s="92" t="str">
        <f>IFERROR(VLOOKUP(D239,'Công T5'!$C$7:$F$89,2,0),"")</f>
        <v/>
      </c>
      <c r="M239" s="92" t="str">
        <f>IFERROR(VLOOKUP(D239,'Công T5'!$C$7:$F$89,3,0),"")</f>
        <v/>
      </c>
      <c r="N239" s="92">
        <f t="shared" si="9"/>
        <v>0.3333333333</v>
      </c>
      <c r="O239" s="92" t="str">
        <f t="shared" si="2"/>
        <v/>
      </c>
      <c r="P239" s="94">
        <f t="shared" si="3"/>
        <v>0</v>
      </c>
      <c r="Q239" s="94" t="str">
        <f t="shared" si="4"/>
        <v/>
      </c>
      <c r="R239" s="95">
        <f t="shared" si="5"/>
        <v>0.5</v>
      </c>
      <c r="S239" s="95" t="str">
        <f t="shared" si="6"/>
        <v/>
      </c>
      <c r="T239" s="95">
        <f t="shared" si="7"/>
        <v>1</v>
      </c>
    </row>
    <row r="240">
      <c r="A240" s="96">
        <v>235.0</v>
      </c>
      <c r="B240" s="103">
        <v>44701.0</v>
      </c>
      <c r="C240" s="96">
        <v>10384.0</v>
      </c>
      <c r="D240" s="98" t="s">
        <v>56</v>
      </c>
      <c r="E240" s="104"/>
      <c r="F240" s="99">
        <v>0.2013888888888889</v>
      </c>
      <c r="G240" s="102"/>
      <c r="H240" s="101"/>
      <c r="I240" s="92" t="str">
        <f>IFERROR(VLOOKUP(D240,'Công T5'!$C$7:$F$89,4,0),"")</f>
        <v>QS</v>
      </c>
      <c r="J240" s="92">
        <f t="shared" si="8"/>
        <v>0.2013888889</v>
      </c>
      <c r="K240" s="92" t="str">
        <f t="shared" si="1"/>
        <v/>
      </c>
      <c r="L240" s="92" t="str">
        <f>IFERROR(VLOOKUP(D240,'Công T5'!$C$7:$F$89,2,0),"")</f>
        <v/>
      </c>
      <c r="M240" s="92" t="str">
        <f>IFERROR(VLOOKUP(D240,'Công T5'!$C$7:$F$89,3,0),"")</f>
        <v/>
      </c>
      <c r="N240" s="92">
        <f t="shared" si="9"/>
        <v>0.3333333333</v>
      </c>
      <c r="O240" s="92" t="str">
        <f t="shared" si="2"/>
        <v/>
      </c>
      <c r="P240" s="94">
        <f t="shared" si="3"/>
        <v>0</v>
      </c>
      <c r="Q240" s="94" t="str">
        <f t="shared" si="4"/>
        <v/>
      </c>
      <c r="R240" s="95">
        <f t="shared" si="5"/>
        <v>0.5</v>
      </c>
      <c r="S240" s="95" t="str">
        <f t="shared" si="6"/>
        <v/>
      </c>
      <c r="T240" s="95">
        <f t="shared" si="7"/>
        <v>1</v>
      </c>
    </row>
    <row r="241">
      <c r="A241" s="96">
        <v>236.0</v>
      </c>
      <c r="B241" s="97">
        <v>44702.0</v>
      </c>
      <c r="C241" s="96">
        <v>10384.0</v>
      </c>
      <c r="D241" s="98" t="s">
        <v>56</v>
      </c>
      <c r="E241" s="104"/>
      <c r="F241" s="99">
        <v>0.26458333333333334</v>
      </c>
      <c r="G241" s="99">
        <v>0.7659722222222223</v>
      </c>
      <c r="H241" s="101"/>
      <c r="I241" s="92" t="str">
        <f>IFERROR(VLOOKUP(D241,'Công T5'!$C$7:$F$89,4,0),"")</f>
        <v>QS</v>
      </c>
      <c r="J241" s="92">
        <f t="shared" si="8"/>
        <v>0.2645833333</v>
      </c>
      <c r="K241" s="92">
        <f t="shared" si="1"/>
        <v>0.7659722222</v>
      </c>
      <c r="L241" s="92" t="str">
        <f>IFERROR(VLOOKUP(D241,'Công T5'!$C$7:$F$89,2,0),"")</f>
        <v/>
      </c>
      <c r="M241" s="92" t="str">
        <f>IFERROR(VLOOKUP(D241,'Công T5'!$C$7:$F$89,3,0),"")</f>
        <v/>
      </c>
      <c r="N241" s="92">
        <f t="shared" si="9"/>
        <v>0.3333333333</v>
      </c>
      <c r="O241" s="92">
        <f t="shared" si="2"/>
        <v>0.7083333333</v>
      </c>
      <c r="P241" s="94">
        <f t="shared" si="3"/>
        <v>0.5</v>
      </c>
      <c r="Q241" s="94">
        <f t="shared" si="4"/>
        <v>0.5</v>
      </c>
      <c r="R241" s="95">
        <f t="shared" si="5"/>
        <v>1</v>
      </c>
      <c r="S241" s="95">
        <f t="shared" si="6"/>
        <v>0</v>
      </c>
      <c r="T241" s="95">
        <f t="shared" si="7"/>
        <v>0</v>
      </c>
    </row>
    <row r="242">
      <c r="A242" s="96">
        <v>237.0</v>
      </c>
      <c r="B242" s="97">
        <v>44703.0</v>
      </c>
      <c r="C242" s="96">
        <v>10384.0</v>
      </c>
      <c r="D242" s="98" t="s">
        <v>56</v>
      </c>
      <c r="E242" s="104"/>
      <c r="F242" s="99">
        <v>0.24722222222222223</v>
      </c>
      <c r="G242" s="102"/>
      <c r="H242" s="101"/>
      <c r="I242" s="92" t="str">
        <f>IFERROR(VLOOKUP(D242,'Công T5'!$C$7:$F$89,4,0),"")</f>
        <v>QS</v>
      </c>
      <c r="J242" s="92">
        <f t="shared" si="8"/>
        <v>0.2472222222</v>
      </c>
      <c r="K242" s="92" t="str">
        <f t="shared" si="1"/>
        <v/>
      </c>
      <c r="L242" s="92" t="str">
        <f>IFERROR(VLOOKUP(D242,'Công T5'!$C$7:$F$89,2,0),"")</f>
        <v/>
      </c>
      <c r="M242" s="92" t="str">
        <f>IFERROR(VLOOKUP(D242,'Công T5'!$C$7:$F$89,3,0),"")</f>
        <v/>
      </c>
      <c r="N242" s="92">
        <f t="shared" si="9"/>
        <v>0.3333333333</v>
      </c>
      <c r="O242" s="92" t="str">
        <f t="shared" si="2"/>
        <v/>
      </c>
      <c r="P242" s="94">
        <f t="shared" si="3"/>
        <v>0</v>
      </c>
      <c r="Q242" s="94" t="str">
        <f t="shared" si="4"/>
        <v/>
      </c>
      <c r="R242" s="95">
        <f t="shared" si="5"/>
        <v>0.5</v>
      </c>
      <c r="S242" s="95" t="str">
        <f t="shared" si="6"/>
        <v/>
      </c>
      <c r="T242" s="95">
        <f t="shared" si="7"/>
        <v>1</v>
      </c>
    </row>
    <row r="243">
      <c r="A243" s="96">
        <v>238.0</v>
      </c>
      <c r="B243" s="97">
        <v>44704.0</v>
      </c>
      <c r="C243" s="96">
        <v>10384.0</v>
      </c>
      <c r="D243" s="98" t="s">
        <v>56</v>
      </c>
      <c r="E243" s="104"/>
      <c r="F243" s="99">
        <v>0.22777777777777777</v>
      </c>
      <c r="G243" s="99">
        <v>0.3125</v>
      </c>
      <c r="H243" s="101"/>
      <c r="I243" s="92" t="str">
        <f>IFERROR(VLOOKUP(D243,'Công T5'!$C$7:$F$89,4,0),"")</f>
        <v>QS</v>
      </c>
      <c r="J243" s="92">
        <f t="shared" si="8"/>
        <v>0.2277777778</v>
      </c>
      <c r="K243" s="92">
        <f t="shared" si="1"/>
        <v>0.9506944444</v>
      </c>
      <c r="L243" s="92" t="str">
        <f>IFERROR(VLOOKUP(D243,'Công T5'!$C$7:$F$89,2,0),"")</f>
        <v/>
      </c>
      <c r="M243" s="92" t="str">
        <f>IFERROR(VLOOKUP(D243,'Công T5'!$C$7:$F$89,3,0),"")</f>
        <v/>
      </c>
      <c r="N243" s="92">
        <f t="shared" si="9"/>
        <v>0.3333333333</v>
      </c>
      <c r="O243" s="92">
        <f t="shared" si="2"/>
        <v>0.7083333333</v>
      </c>
      <c r="P243" s="94">
        <f t="shared" si="3"/>
        <v>0.5</v>
      </c>
      <c r="Q243" s="94">
        <f t="shared" si="4"/>
        <v>0.5</v>
      </c>
      <c r="R243" s="95">
        <f t="shared" si="5"/>
        <v>1</v>
      </c>
      <c r="S243" s="95">
        <f t="shared" si="6"/>
        <v>0</v>
      </c>
      <c r="T243" s="95">
        <f t="shared" si="7"/>
        <v>0</v>
      </c>
    </row>
    <row r="244">
      <c r="A244" s="96">
        <v>239.0</v>
      </c>
      <c r="B244" s="97">
        <v>44704.0</v>
      </c>
      <c r="C244" s="96">
        <v>10384.0</v>
      </c>
      <c r="D244" s="98" t="s">
        <v>56</v>
      </c>
      <c r="E244" s="104"/>
      <c r="F244" s="99">
        <v>0.7680555555555556</v>
      </c>
      <c r="G244" s="99">
        <v>0.9506944444444444</v>
      </c>
      <c r="H244" s="101"/>
      <c r="I244" s="92" t="str">
        <f>IFERROR(VLOOKUP(D244,'Công T5'!$C$7:$F$89,4,0),"")</f>
        <v>QS</v>
      </c>
      <c r="J244" s="92">
        <f t="shared" si="8"/>
        <v>0.7680555556</v>
      </c>
      <c r="K244" s="92">
        <f t="shared" si="1"/>
        <v>0.9506944444</v>
      </c>
      <c r="L244" s="92" t="str">
        <f>IFERROR(VLOOKUP(D244,'Công T5'!$C$7:$F$89,2,0),"")</f>
        <v/>
      </c>
      <c r="M244" s="92" t="str">
        <f>IFERROR(VLOOKUP(D244,'Công T5'!$C$7:$F$89,3,0),"")</f>
        <v/>
      </c>
      <c r="N244" s="92">
        <f t="shared" si="9"/>
        <v>0.7680555556</v>
      </c>
      <c r="O244" s="92">
        <f t="shared" si="2"/>
        <v>0.7083333333</v>
      </c>
      <c r="P244" s="94">
        <f t="shared" si="3"/>
        <v>0</v>
      </c>
      <c r="Q244" s="94">
        <f t="shared" si="4"/>
        <v>0.5</v>
      </c>
      <c r="R244" s="95">
        <f t="shared" si="5"/>
        <v>0.5</v>
      </c>
      <c r="S244" s="95">
        <f t="shared" si="6"/>
        <v>1</v>
      </c>
      <c r="T244" s="95">
        <f t="shared" si="7"/>
        <v>0</v>
      </c>
    </row>
    <row r="245">
      <c r="A245" s="96">
        <v>240.0</v>
      </c>
      <c r="B245" s="97">
        <v>44705.0</v>
      </c>
      <c r="C245" s="96">
        <v>10384.0</v>
      </c>
      <c r="D245" s="98" t="s">
        <v>56</v>
      </c>
      <c r="E245" s="104"/>
      <c r="F245" s="99">
        <v>0.24166666666666667</v>
      </c>
      <c r="G245" s="99">
        <v>0.7583333333333333</v>
      </c>
      <c r="H245" s="101"/>
      <c r="I245" s="92" t="str">
        <f>IFERROR(VLOOKUP(D245,'Công T5'!$C$7:$F$89,4,0),"")</f>
        <v>QS</v>
      </c>
      <c r="J245" s="92">
        <f t="shared" si="8"/>
        <v>0.2416666667</v>
      </c>
      <c r="K245" s="92">
        <f t="shared" si="1"/>
        <v>0.7583333333</v>
      </c>
      <c r="L245" s="92" t="str">
        <f>IFERROR(VLOOKUP(D245,'Công T5'!$C$7:$F$89,2,0),"")</f>
        <v/>
      </c>
      <c r="M245" s="92" t="str">
        <f>IFERROR(VLOOKUP(D245,'Công T5'!$C$7:$F$89,3,0),"")</f>
        <v/>
      </c>
      <c r="N245" s="92">
        <f t="shared" si="9"/>
        <v>0.3333333333</v>
      </c>
      <c r="O245" s="92">
        <f t="shared" si="2"/>
        <v>0.7083333333</v>
      </c>
      <c r="P245" s="94">
        <f t="shared" si="3"/>
        <v>0.5</v>
      </c>
      <c r="Q245" s="94">
        <f t="shared" si="4"/>
        <v>0.5</v>
      </c>
      <c r="R245" s="95">
        <f t="shared" si="5"/>
        <v>1</v>
      </c>
      <c r="S245" s="95">
        <f t="shared" si="6"/>
        <v>0</v>
      </c>
      <c r="T245" s="95">
        <f t="shared" si="7"/>
        <v>0</v>
      </c>
    </row>
    <row r="246">
      <c r="A246" s="96">
        <v>241.0</v>
      </c>
      <c r="B246" s="97">
        <v>44706.0</v>
      </c>
      <c r="C246" s="96">
        <v>10384.0</v>
      </c>
      <c r="D246" s="98" t="s">
        <v>56</v>
      </c>
      <c r="E246" s="104"/>
      <c r="F246" s="99">
        <v>0.2375</v>
      </c>
      <c r="G246" s="99">
        <v>0.3138888888888889</v>
      </c>
      <c r="H246" s="101"/>
      <c r="I246" s="92" t="str">
        <f>IFERROR(VLOOKUP(D246,'Công T5'!$C$7:$F$89,4,0),"")</f>
        <v>QS</v>
      </c>
      <c r="J246" s="92">
        <f t="shared" si="8"/>
        <v>0.2375</v>
      </c>
      <c r="K246" s="92">
        <f t="shared" si="1"/>
        <v>0.9270833333</v>
      </c>
      <c r="L246" s="92" t="str">
        <f>IFERROR(VLOOKUP(D246,'Công T5'!$C$7:$F$89,2,0),"")</f>
        <v/>
      </c>
      <c r="M246" s="92" t="str">
        <f>IFERROR(VLOOKUP(D246,'Công T5'!$C$7:$F$89,3,0),"")</f>
        <v/>
      </c>
      <c r="N246" s="92">
        <f t="shared" si="9"/>
        <v>0.3333333333</v>
      </c>
      <c r="O246" s="92">
        <f t="shared" si="2"/>
        <v>0.7083333333</v>
      </c>
      <c r="P246" s="94">
        <f t="shared" si="3"/>
        <v>0.5</v>
      </c>
      <c r="Q246" s="94">
        <f t="shared" si="4"/>
        <v>0.5</v>
      </c>
      <c r="R246" s="95">
        <f t="shared" si="5"/>
        <v>1</v>
      </c>
      <c r="S246" s="95">
        <f t="shared" si="6"/>
        <v>0</v>
      </c>
      <c r="T246" s="95">
        <f t="shared" si="7"/>
        <v>0</v>
      </c>
    </row>
    <row r="247">
      <c r="A247" s="96">
        <v>242.0</v>
      </c>
      <c r="B247" s="97">
        <v>44706.0</v>
      </c>
      <c r="C247" s="96">
        <v>10384.0</v>
      </c>
      <c r="D247" s="98" t="s">
        <v>56</v>
      </c>
      <c r="E247" s="104"/>
      <c r="F247" s="99">
        <v>0.9270833333333334</v>
      </c>
      <c r="G247" s="102"/>
      <c r="H247" s="101"/>
      <c r="I247" s="92" t="str">
        <f>IFERROR(VLOOKUP(D247,'Công T5'!$C$7:$F$89,4,0),"")</f>
        <v>QS</v>
      </c>
      <c r="J247" s="92">
        <f t="shared" si="8"/>
        <v>0.9270833333</v>
      </c>
      <c r="K247" s="92" t="str">
        <f t="shared" si="1"/>
        <v/>
      </c>
      <c r="L247" s="92" t="str">
        <f>IFERROR(VLOOKUP(D247,'Công T5'!$C$7:$F$89,2,0),"")</f>
        <v/>
      </c>
      <c r="M247" s="92" t="str">
        <f>IFERROR(VLOOKUP(D247,'Công T5'!$C$7:$F$89,3,0),"")</f>
        <v/>
      </c>
      <c r="N247" s="92">
        <f t="shared" si="9"/>
        <v>0.9270833333</v>
      </c>
      <c r="O247" s="92" t="str">
        <f t="shared" si="2"/>
        <v/>
      </c>
      <c r="P247" s="94">
        <f t="shared" si="3"/>
        <v>0</v>
      </c>
      <c r="Q247" s="94" t="str">
        <f t="shared" si="4"/>
        <v/>
      </c>
      <c r="R247" s="95">
        <f t="shared" si="5"/>
        <v>0.5</v>
      </c>
      <c r="S247" s="95" t="str">
        <f t="shared" si="6"/>
        <v/>
      </c>
      <c r="T247" s="95">
        <f t="shared" si="7"/>
        <v>1</v>
      </c>
    </row>
    <row r="248">
      <c r="A248" s="96">
        <v>243.0</v>
      </c>
      <c r="B248" s="97">
        <v>44677.0</v>
      </c>
      <c r="C248" s="96">
        <v>10387.0</v>
      </c>
      <c r="D248" s="98" t="s">
        <v>49</v>
      </c>
      <c r="E248" s="98" t="s">
        <v>160</v>
      </c>
      <c r="F248" s="99">
        <v>0.3173611111111111</v>
      </c>
      <c r="G248" s="99">
        <v>0.7222222222222222</v>
      </c>
      <c r="H248" s="101"/>
      <c r="I248" s="92" t="str">
        <f>IFERROR(VLOOKUP(D248,'Công T5'!$C$7:$F$89,4,0),"")</f>
        <v>ĐT</v>
      </c>
      <c r="J248" s="92">
        <f t="shared" si="8"/>
        <v>0.3173611111</v>
      </c>
      <c r="K248" s="92">
        <f t="shared" si="1"/>
        <v>0.7222222222</v>
      </c>
      <c r="L248" s="92" t="str">
        <f>IFERROR(VLOOKUP(D248,'Công T5'!$C$7:$F$89,2,0),"")</f>
        <v/>
      </c>
      <c r="M248" s="92" t="str">
        <f>IFERROR(VLOOKUP(D248,'Công T5'!$C$7:$F$89,3,0),"")</f>
        <v/>
      </c>
      <c r="N248" s="92">
        <f t="shared" si="9"/>
        <v>0.3333333333</v>
      </c>
      <c r="O248" s="92">
        <f t="shared" si="2"/>
        <v>0.7083333333</v>
      </c>
      <c r="P248" s="94">
        <f t="shared" si="3"/>
        <v>0.5</v>
      </c>
      <c r="Q248" s="94">
        <f t="shared" si="4"/>
        <v>0.5</v>
      </c>
      <c r="R248" s="95">
        <f t="shared" si="5"/>
        <v>1</v>
      </c>
      <c r="S248" s="95">
        <f t="shared" si="6"/>
        <v>0</v>
      </c>
      <c r="T248" s="95">
        <f t="shared" si="7"/>
        <v>0</v>
      </c>
    </row>
    <row r="249">
      <c r="A249" s="96">
        <v>244.0</v>
      </c>
      <c r="B249" s="97">
        <v>44678.0</v>
      </c>
      <c r="C249" s="96">
        <v>10387.0</v>
      </c>
      <c r="D249" s="98" t="s">
        <v>49</v>
      </c>
      <c r="E249" s="98" t="s">
        <v>160</v>
      </c>
      <c r="F249" s="99">
        <v>0.3104166666666667</v>
      </c>
      <c r="G249" s="99">
        <v>0.7263888888888889</v>
      </c>
      <c r="H249" s="101"/>
      <c r="I249" s="92" t="str">
        <f>IFERROR(VLOOKUP(D249,'Công T5'!$C$7:$F$89,4,0),"")</f>
        <v>ĐT</v>
      </c>
      <c r="J249" s="92">
        <f t="shared" si="8"/>
        <v>0.3104166667</v>
      </c>
      <c r="K249" s="92">
        <f t="shared" si="1"/>
        <v>0.7263888889</v>
      </c>
      <c r="L249" s="92" t="str">
        <f>IFERROR(VLOOKUP(D249,'Công T5'!$C$7:$F$89,2,0),"")</f>
        <v/>
      </c>
      <c r="M249" s="92" t="str">
        <f>IFERROR(VLOOKUP(D249,'Công T5'!$C$7:$F$89,3,0),"")</f>
        <v/>
      </c>
      <c r="N249" s="92">
        <f t="shared" si="9"/>
        <v>0.3333333333</v>
      </c>
      <c r="O249" s="92">
        <f t="shared" si="2"/>
        <v>0.7083333333</v>
      </c>
      <c r="P249" s="94">
        <f t="shared" si="3"/>
        <v>0.5</v>
      </c>
      <c r="Q249" s="94">
        <f t="shared" si="4"/>
        <v>0.5</v>
      </c>
      <c r="R249" s="95">
        <f t="shared" si="5"/>
        <v>1</v>
      </c>
      <c r="S249" s="95">
        <f t="shared" si="6"/>
        <v>0</v>
      </c>
      <c r="T249" s="95">
        <f t="shared" si="7"/>
        <v>0</v>
      </c>
    </row>
    <row r="250">
      <c r="A250" s="96">
        <v>245.0</v>
      </c>
      <c r="B250" s="97">
        <v>44679.0</v>
      </c>
      <c r="C250" s="96">
        <v>10387.0</v>
      </c>
      <c r="D250" s="98" t="s">
        <v>49</v>
      </c>
      <c r="E250" s="98" t="s">
        <v>160</v>
      </c>
      <c r="F250" s="99">
        <v>0.3173611111111111</v>
      </c>
      <c r="G250" s="99">
        <v>0.7145833333333333</v>
      </c>
      <c r="H250" s="101"/>
      <c r="I250" s="92" t="str">
        <f>IFERROR(VLOOKUP(D250,'Công T5'!$C$7:$F$89,4,0),"")</f>
        <v>ĐT</v>
      </c>
      <c r="J250" s="92">
        <f t="shared" si="8"/>
        <v>0.3173611111</v>
      </c>
      <c r="K250" s="92">
        <f t="shared" si="1"/>
        <v>0.7145833333</v>
      </c>
      <c r="L250" s="92" t="str">
        <f>IFERROR(VLOOKUP(D250,'Công T5'!$C$7:$F$89,2,0),"")</f>
        <v/>
      </c>
      <c r="M250" s="92" t="str">
        <f>IFERROR(VLOOKUP(D250,'Công T5'!$C$7:$F$89,3,0),"")</f>
        <v/>
      </c>
      <c r="N250" s="92">
        <f t="shared" si="9"/>
        <v>0.3333333333</v>
      </c>
      <c r="O250" s="92">
        <f t="shared" si="2"/>
        <v>0.7083333333</v>
      </c>
      <c r="P250" s="94">
        <f t="shared" si="3"/>
        <v>0.5</v>
      </c>
      <c r="Q250" s="94">
        <f t="shared" si="4"/>
        <v>0.5</v>
      </c>
      <c r="R250" s="95">
        <f t="shared" si="5"/>
        <v>1</v>
      </c>
      <c r="S250" s="95">
        <f t="shared" si="6"/>
        <v>0</v>
      </c>
      <c r="T250" s="95">
        <f t="shared" si="7"/>
        <v>0</v>
      </c>
    </row>
    <row r="251">
      <c r="A251" s="96">
        <v>246.0</v>
      </c>
      <c r="B251" s="97">
        <v>44680.0</v>
      </c>
      <c r="C251" s="96">
        <v>10387.0</v>
      </c>
      <c r="D251" s="98" t="s">
        <v>49</v>
      </c>
      <c r="E251" s="98" t="s">
        <v>160</v>
      </c>
      <c r="F251" s="99">
        <v>0.31805555555555554</v>
      </c>
      <c r="G251" s="99">
        <v>0.7194444444444444</v>
      </c>
      <c r="H251" s="101"/>
      <c r="I251" s="92" t="str">
        <f>IFERROR(VLOOKUP(D251,'Công T5'!$C$7:$F$89,4,0),"")</f>
        <v>ĐT</v>
      </c>
      <c r="J251" s="92">
        <f t="shared" si="8"/>
        <v>0.3180555556</v>
      </c>
      <c r="K251" s="92">
        <f t="shared" si="1"/>
        <v>0.7194444444</v>
      </c>
      <c r="L251" s="92" t="str">
        <f>IFERROR(VLOOKUP(D251,'Công T5'!$C$7:$F$89,2,0),"")</f>
        <v/>
      </c>
      <c r="M251" s="92" t="str">
        <f>IFERROR(VLOOKUP(D251,'Công T5'!$C$7:$F$89,3,0),"")</f>
        <v/>
      </c>
      <c r="N251" s="92">
        <f t="shared" si="9"/>
        <v>0.3333333333</v>
      </c>
      <c r="O251" s="92">
        <f t="shared" si="2"/>
        <v>0.7083333333</v>
      </c>
      <c r="P251" s="94">
        <f t="shared" si="3"/>
        <v>0.5</v>
      </c>
      <c r="Q251" s="94">
        <f t="shared" si="4"/>
        <v>0.5</v>
      </c>
      <c r="R251" s="95">
        <f t="shared" si="5"/>
        <v>1</v>
      </c>
      <c r="S251" s="95">
        <f t="shared" si="6"/>
        <v>0</v>
      </c>
      <c r="T251" s="95">
        <f t="shared" si="7"/>
        <v>0</v>
      </c>
    </row>
    <row r="252">
      <c r="A252" s="96">
        <v>247.0</v>
      </c>
      <c r="B252" s="97">
        <v>44685.0</v>
      </c>
      <c r="C252" s="96">
        <v>10387.0</v>
      </c>
      <c r="D252" s="98" t="s">
        <v>49</v>
      </c>
      <c r="E252" s="98" t="s">
        <v>160</v>
      </c>
      <c r="F252" s="99">
        <v>0.31875</v>
      </c>
      <c r="G252" s="99">
        <v>0.7166666666666667</v>
      </c>
      <c r="H252" s="101"/>
      <c r="I252" s="92" t="str">
        <f>IFERROR(VLOOKUP(D252,'Công T5'!$C$7:$F$89,4,0),"")</f>
        <v>ĐT</v>
      </c>
      <c r="J252" s="92">
        <f t="shared" si="8"/>
        <v>0.31875</v>
      </c>
      <c r="K252" s="92">
        <f t="shared" si="1"/>
        <v>0.7166666667</v>
      </c>
      <c r="L252" s="92" t="str">
        <f>IFERROR(VLOOKUP(D252,'Công T5'!$C$7:$F$89,2,0),"")</f>
        <v/>
      </c>
      <c r="M252" s="92" t="str">
        <f>IFERROR(VLOOKUP(D252,'Công T5'!$C$7:$F$89,3,0),"")</f>
        <v/>
      </c>
      <c r="N252" s="92">
        <f t="shared" si="9"/>
        <v>0.3333333333</v>
      </c>
      <c r="O252" s="92">
        <f t="shared" si="2"/>
        <v>0.7083333333</v>
      </c>
      <c r="P252" s="94">
        <f t="shared" si="3"/>
        <v>0.5</v>
      </c>
      <c r="Q252" s="94">
        <f t="shared" si="4"/>
        <v>0.5</v>
      </c>
      <c r="R252" s="95">
        <f t="shared" si="5"/>
        <v>1</v>
      </c>
      <c r="S252" s="95">
        <f t="shared" si="6"/>
        <v>0</v>
      </c>
      <c r="T252" s="95">
        <f t="shared" si="7"/>
        <v>0</v>
      </c>
    </row>
    <row r="253">
      <c r="A253" s="96">
        <v>248.0</v>
      </c>
      <c r="B253" s="97">
        <v>44686.0</v>
      </c>
      <c r="C253" s="96">
        <v>10387.0</v>
      </c>
      <c r="D253" s="98" t="s">
        <v>49</v>
      </c>
      <c r="E253" s="98" t="s">
        <v>160</v>
      </c>
      <c r="F253" s="99">
        <v>0.31875</v>
      </c>
      <c r="G253" s="99">
        <v>0.6416666666666667</v>
      </c>
      <c r="H253" s="101"/>
      <c r="I253" s="92" t="str">
        <f>IFERROR(VLOOKUP(D253,'Công T5'!$C$7:$F$89,4,0),"")</f>
        <v>ĐT</v>
      </c>
      <c r="J253" s="92">
        <f t="shared" si="8"/>
        <v>0.31875</v>
      </c>
      <c r="K253" s="92">
        <f t="shared" si="1"/>
        <v>0.6416666667</v>
      </c>
      <c r="L253" s="92" t="str">
        <f>IFERROR(VLOOKUP(D253,'Công T5'!$C$7:$F$89,2,0),"")</f>
        <v/>
      </c>
      <c r="M253" s="92" t="str">
        <f>IFERROR(VLOOKUP(D253,'Công T5'!$C$7:$F$89,3,0),"")</f>
        <v/>
      </c>
      <c r="N253" s="92">
        <f t="shared" si="9"/>
        <v>0.3333333333</v>
      </c>
      <c r="O253" s="92">
        <f t="shared" si="2"/>
        <v>0.6416666667</v>
      </c>
      <c r="P253" s="94">
        <f t="shared" si="3"/>
        <v>0.5</v>
      </c>
      <c r="Q253" s="94">
        <f t="shared" si="4"/>
        <v>0.3</v>
      </c>
      <c r="R253" s="95">
        <f t="shared" si="5"/>
        <v>0.8</v>
      </c>
      <c r="S253" s="95">
        <f t="shared" si="6"/>
        <v>0</v>
      </c>
      <c r="T253" s="95">
        <f t="shared" si="7"/>
        <v>0</v>
      </c>
    </row>
    <row r="254">
      <c r="A254" s="96">
        <v>249.0</v>
      </c>
      <c r="B254" s="97">
        <v>44687.0</v>
      </c>
      <c r="C254" s="96">
        <v>10387.0</v>
      </c>
      <c r="D254" s="98" t="s">
        <v>49</v>
      </c>
      <c r="E254" s="98" t="s">
        <v>160</v>
      </c>
      <c r="F254" s="99">
        <v>0.3159722222222222</v>
      </c>
      <c r="G254" s="99">
        <v>0.7145833333333333</v>
      </c>
      <c r="H254" s="101"/>
      <c r="I254" s="92" t="str">
        <f>IFERROR(VLOOKUP(D254,'Công T5'!$C$7:$F$89,4,0),"")</f>
        <v>ĐT</v>
      </c>
      <c r="J254" s="92">
        <f t="shared" si="8"/>
        <v>0.3159722222</v>
      </c>
      <c r="K254" s="92">
        <f t="shared" si="1"/>
        <v>0.7145833333</v>
      </c>
      <c r="L254" s="92" t="str">
        <f>IFERROR(VLOOKUP(D254,'Công T5'!$C$7:$F$89,2,0),"")</f>
        <v/>
      </c>
      <c r="M254" s="92" t="str">
        <f>IFERROR(VLOOKUP(D254,'Công T5'!$C$7:$F$89,3,0),"")</f>
        <v/>
      </c>
      <c r="N254" s="92">
        <f t="shared" si="9"/>
        <v>0.3333333333</v>
      </c>
      <c r="O254" s="92">
        <f t="shared" si="2"/>
        <v>0.7083333333</v>
      </c>
      <c r="P254" s="94">
        <f t="shared" si="3"/>
        <v>0.5</v>
      </c>
      <c r="Q254" s="94">
        <f t="shared" si="4"/>
        <v>0.5</v>
      </c>
      <c r="R254" s="95">
        <f t="shared" si="5"/>
        <v>1</v>
      </c>
      <c r="S254" s="95">
        <f t="shared" si="6"/>
        <v>0</v>
      </c>
      <c r="T254" s="95">
        <f t="shared" si="7"/>
        <v>0</v>
      </c>
    </row>
    <row r="255">
      <c r="A255" s="96">
        <v>250.0</v>
      </c>
      <c r="B255" s="97">
        <v>44690.0</v>
      </c>
      <c r="C255" s="96">
        <v>10387.0</v>
      </c>
      <c r="D255" s="98" t="s">
        <v>49</v>
      </c>
      <c r="E255" s="98" t="s">
        <v>160</v>
      </c>
      <c r="F255" s="99">
        <v>0.31875</v>
      </c>
      <c r="G255" s="99">
        <v>0.7402777777777778</v>
      </c>
      <c r="H255" s="101"/>
      <c r="I255" s="92" t="str">
        <f>IFERROR(VLOOKUP(D255,'Công T5'!$C$7:$F$89,4,0),"")</f>
        <v>ĐT</v>
      </c>
      <c r="J255" s="92">
        <f t="shared" si="8"/>
        <v>0.31875</v>
      </c>
      <c r="K255" s="92">
        <f t="shared" si="1"/>
        <v>0.7402777778</v>
      </c>
      <c r="L255" s="92" t="str">
        <f>IFERROR(VLOOKUP(D255,'Công T5'!$C$7:$F$89,2,0),"")</f>
        <v/>
      </c>
      <c r="M255" s="92" t="str">
        <f>IFERROR(VLOOKUP(D255,'Công T5'!$C$7:$F$89,3,0),"")</f>
        <v/>
      </c>
      <c r="N255" s="92">
        <f t="shared" si="9"/>
        <v>0.3333333333</v>
      </c>
      <c r="O255" s="92">
        <f t="shared" si="2"/>
        <v>0.7083333333</v>
      </c>
      <c r="P255" s="94">
        <f t="shared" si="3"/>
        <v>0.5</v>
      </c>
      <c r="Q255" s="94">
        <f t="shared" si="4"/>
        <v>0.5</v>
      </c>
      <c r="R255" s="95">
        <f t="shared" si="5"/>
        <v>1</v>
      </c>
      <c r="S255" s="95">
        <f t="shared" si="6"/>
        <v>0</v>
      </c>
      <c r="T255" s="95">
        <f t="shared" si="7"/>
        <v>0</v>
      </c>
    </row>
    <row r="256">
      <c r="A256" s="96">
        <v>251.0</v>
      </c>
      <c r="B256" s="97">
        <v>44691.0</v>
      </c>
      <c r="C256" s="96">
        <v>10387.0</v>
      </c>
      <c r="D256" s="98" t="s">
        <v>49</v>
      </c>
      <c r="E256" s="98" t="s">
        <v>160</v>
      </c>
      <c r="F256" s="99">
        <v>0.32083333333333336</v>
      </c>
      <c r="G256" s="99">
        <v>0.7236111111111111</v>
      </c>
      <c r="H256" s="101"/>
      <c r="I256" s="92" t="str">
        <f>IFERROR(VLOOKUP(D256,'Công T5'!$C$7:$F$89,4,0),"")</f>
        <v>ĐT</v>
      </c>
      <c r="J256" s="92">
        <f t="shared" si="8"/>
        <v>0.3208333333</v>
      </c>
      <c r="K256" s="92">
        <f t="shared" si="1"/>
        <v>0.7236111111</v>
      </c>
      <c r="L256" s="92" t="str">
        <f>IFERROR(VLOOKUP(D256,'Công T5'!$C$7:$F$89,2,0),"")</f>
        <v/>
      </c>
      <c r="M256" s="92" t="str">
        <f>IFERROR(VLOOKUP(D256,'Công T5'!$C$7:$F$89,3,0),"")</f>
        <v/>
      </c>
      <c r="N256" s="92">
        <f t="shared" si="9"/>
        <v>0.3333333333</v>
      </c>
      <c r="O256" s="92">
        <f t="shared" si="2"/>
        <v>0.7083333333</v>
      </c>
      <c r="P256" s="94">
        <f t="shared" si="3"/>
        <v>0.5</v>
      </c>
      <c r="Q256" s="94">
        <f t="shared" si="4"/>
        <v>0.5</v>
      </c>
      <c r="R256" s="95">
        <f t="shared" si="5"/>
        <v>1</v>
      </c>
      <c r="S256" s="95">
        <f t="shared" si="6"/>
        <v>0</v>
      </c>
      <c r="T256" s="95">
        <f t="shared" si="7"/>
        <v>0</v>
      </c>
    </row>
    <row r="257">
      <c r="A257" s="96">
        <v>252.0</v>
      </c>
      <c r="B257" s="97">
        <v>44692.0</v>
      </c>
      <c r="C257" s="96">
        <v>10387.0</v>
      </c>
      <c r="D257" s="98" t="s">
        <v>49</v>
      </c>
      <c r="E257" s="98" t="s">
        <v>160</v>
      </c>
      <c r="F257" s="99">
        <v>0.32083333333333336</v>
      </c>
      <c r="G257" s="99">
        <v>0.7152777777777778</v>
      </c>
      <c r="H257" s="101"/>
      <c r="I257" s="92" t="str">
        <f>IFERROR(VLOOKUP(D257,'Công T5'!$C$7:$F$89,4,0),"")</f>
        <v>ĐT</v>
      </c>
      <c r="J257" s="92">
        <f t="shared" si="8"/>
        <v>0.3208333333</v>
      </c>
      <c r="K257" s="92">
        <f t="shared" si="1"/>
        <v>0.7152777778</v>
      </c>
      <c r="L257" s="92" t="str">
        <f>IFERROR(VLOOKUP(D257,'Công T5'!$C$7:$F$89,2,0),"")</f>
        <v/>
      </c>
      <c r="M257" s="92" t="str">
        <f>IFERROR(VLOOKUP(D257,'Công T5'!$C$7:$F$89,3,0),"")</f>
        <v/>
      </c>
      <c r="N257" s="92">
        <f t="shared" si="9"/>
        <v>0.3333333333</v>
      </c>
      <c r="O257" s="92">
        <f t="shared" si="2"/>
        <v>0.7083333333</v>
      </c>
      <c r="P257" s="94">
        <f t="shared" si="3"/>
        <v>0.5</v>
      </c>
      <c r="Q257" s="94">
        <f t="shared" si="4"/>
        <v>0.5</v>
      </c>
      <c r="R257" s="95">
        <f t="shared" si="5"/>
        <v>1</v>
      </c>
      <c r="S257" s="95">
        <f t="shared" si="6"/>
        <v>0</v>
      </c>
      <c r="T257" s="95">
        <f t="shared" si="7"/>
        <v>0</v>
      </c>
    </row>
    <row r="258">
      <c r="A258" s="96">
        <v>253.0</v>
      </c>
      <c r="B258" s="97">
        <v>44693.0</v>
      </c>
      <c r="C258" s="96">
        <v>10387.0</v>
      </c>
      <c r="D258" s="98" t="s">
        <v>49</v>
      </c>
      <c r="E258" s="98" t="s">
        <v>160</v>
      </c>
      <c r="F258" s="99">
        <v>0.3215277777777778</v>
      </c>
      <c r="G258" s="99">
        <v>0.7138888888888889</v>
      </c>
      <c r="H258" s="101"/>
      <c r="I258" s="92" t="str">
        <f>IFERROR(VLOOKUP(D258,'Công T5'!$C$7:$F$89,4,0),"")</f>
        <v>ĐT</v>
      </c>
      <c r="J258" s="92">
        <f t="shared" si="8"/>
        <v>0.3215277778</v>
      </c>
      <c r="K258" s="92">
        <f t="shared" si="1"/>
        <v>0.7138888889</v>
      </c>
      <c r="L258" s="92" t="str">
        <f>IFERROR(VLOOKUP(D258,'Công T5'!$C$7:$F$89,2,0),"")</f>
        <v/>
      </c>
      <c r="M258" s="92" t="str">
        <f>IFERROR(VLOOKUP(D258,'Công T5'!$C$7:$F$89,3,0),"")</f>
        <v/>
      </c>
      <c r="N258" s="92">
        <f t="shared" si="9"/>
        <v>0.3333333333</v>
      </c>
      <c r="O258" s="92">
        <f t="shared" si="2"/>
        <v>0.7083333333</v>
      </c>
      <c r="P258" s="94">
        <f t="shared" si="3"/>
        <v>0.5</v>
      </c>
      <c r="Q258" s="94">
        <f t="shared" si="4"/>
        <v>0.5</v>
      </c>
      <c r="R258" s="95">
        <f t="shared" si="5"/>
        <v>1</v>
      </c>
      <c r="S258" s="95">
        <f t="shared" si="6"/>
        <v>0</v>
      </c>
      <c r="T258" s="95">
        <f t="shared" si="7"/>
        <v>0</v>
      </c>
    </row>
    <row r="259">
      <c r="A259" s="96">
        <v>254.0</v>
      </c>
      <c r="B259" s="97">
        <v>44694.0</v>
      </c>
      <c r="C259" s="96">
        <v>10387.0</v>
      </c>
      <c r="D259" s="98" t="s">
        <v>49</v>
      </c>
      <c r="E259" s="98" t="s">
        <v>160</v>
      </c>
      <c r="F259" s="99">
        <v>0.32708333333333334</v>
      </c>
      <c r="G259" s="99">
        <v>0.7125</v>
      </c>
      <c r="H259" s="101"/>
      <c r="I259" s="92" t="str">
        <f>IFERROR(VLOOKUP(D259,'Công T5'!$C$7:$F$89,4,0),"")</f>
        <v>ĐT</v>
      </c>
      <c r="J259" s="92">
        <f t="shared" si="8"/>
        <v>0.3270833333</v>
      </c>
      <c r="K259" s="92">
        <f t="shared" si="1"/>
        <v>0.7125</v>
      </c>
      <c r="L259" s="92" t="str">
        <f>IFERROR(VLOOKUP(D259,'Công T5'!$C$7:$F$89,2,0),"")</f>
        <v/>
      </c>
      <c r="M259" s="92" t="str">
        <f>IFERROR(VLOOKUP(D259,'Công T5'!$C$7:$F$89,3,0),"")</f>
        <v/>
      </c>
      <c r="N259" s="92">
        <f t="shared" si="9"/>
        <v>0.3333333333</v>
      </c>
      <c r="O259" s="92">
        <f t="shared" si="2"/>
        <v>0.7083333333</v>
      </c>
      <c r="P259" s="94">
        <f t="shared" si="3"/>
        <v>0.5</v>
      </c>
      <c r="Q259" s="94">
        <f t="shared" si="4"/>
        <v>0.5</v>
      </c>
      <c r="R259" s="95">
        <f t="shared" si="5"/>
        <v>1</v>
      </c>
      <c r="S259" s="95">
        <f t="shared" si="6"/>
        <v>0</v>
      </c>
      <c r="T259" s="95">
        <f t="shared" si="7"/>
        <v>0</v>
      </c>
    </row>
    <row r="260">
      <c r="A260" s="96">
        <v>255.0</v>
      </c>
      <c r="B260" s="97">
        <v>44697.0</v>
      </c>
      <c r="C260" s="96">
        <v>10387.0</v>
      </c>
      <c r="D260" s="98" t="s">
        <v>49</v>
      </c>
      <c r="E260" s="98" t="s">
        <v>160</v>
      </c>
      <c r="F260" s="99">
        <v>0.32222222222222224</v>
      </c>
      <c r="G260" s="102"/>
      <c r="H260" s="101"/>
      <c r="I260" s="92" t="str">
        <f>IFERROR(VLOOKUP(D260,'Công T5'!$C$7:$F$89,4,0),"")</f>
        <v>ĐT</v>
      </c>
      <c r="J260" s="92">
        <f t="shared" si="8"/>
        <v>0.3222222222</v>
      </c>
      <c r="K260" s="92" t="str">
        <f t="shared" si="1"/>
        <v/>
      </c>
      <c r="L260" s="92" t="str">
        <f>IFERROR(VLOOKUP(D260,'Công T5'!$C$7:$F$89,2,0),"")</f>
        <v/>
      </c>
      <c r="M260" s="92" t="str">
        <f>IFERROR(VLOOKUP(D260,'Công T5'!$C$7:$F$89,3,0),"")</f>
        <v/>
      </c>
      <c r="N260" s="92">
        <f t="shared" si="9"/>
        <v>0.3333333333</v>
      </c>
      <c r="O260" s="92" t="str">
        <f t="shared" si="2"/>
        <v/>
      </c>
      <c r="P260" s="94">
        <f t="shared" si="3"/>
        <v>0</v>
      </c>
      <c r="Q260" s="94" t="str">
        <f t="shared" si="4"/>
        <v/>
      </c>
      <c r="R260" s="95">
        <f t="shared" si="5"/>
        <v>0.5</v>
      </c>
      <c r="S260" s="95" t="str">
        <f t="shared" si="6"/>
        <v/>
      </c>
      <c r="T260" s="95">
        <f t="shared" si="7"/>
        <v>1</v>
      </c>
    </row>
    <row r="261">
      <c r="A261" s="96">
        <v>256.0</v>
      </c>
      <c r="B261" s="97">
        <v>44698.0</v>
      </c>
      <c r="C261" s="96">
        <v>10387.0</v>
      </c>
      <c r="D261" s="98" t="s">
        <v>49</v>
      </c>
      <c r="E261" s="98" t="s">
        <v>160</v>
      </c>
      <c r="F261" s="99">
        <v>0.3194444444444444</v>
      </c>
      <c r="G261" s="99">
        <v>0.7173611111111111</v>
      </c>
      <c r="H261" s="101"/>
      <c r="I261" s="92" t="str">
        <f>IFERROR(VLOOKUP(D261,'Công T5'!$C$7:$F$89,4,0),"")</f>
        <v>ĐT</v>
      </c>
      <c r="J261" s="92">
        <f t="shared" si="8"/>
        <v>0.3194444444</v>
      </c>
      <c r="K261" s="92">
        <f t="shared" si="1"/>
        <v>0.7173611111</v>
      </c>
      <c r="L261" s="92" t="str">
        <f>IFERROR(VLOOKUP(D261,'Công T5'!$C$7:$F$89,2,0),"")</f>
        <v/>
      </c>
      <c r="M261" s="92" t="str">
        <f>IFERROR(VLOOKUP(D261,'Công T5'!$C$7:$F$89,3,0),"")</f>
        <v/>
      </c>
      <c r="N261" s="92">
        <f t="shared" si="9"/>
        <v>0.3333333333</v>
      </c>
      <c r="O261" s="92">
        <f t="shared" si="2"/>
        <v>0.7083333333</v>
      </c>
      <c r="P261" s="94">
        <f t="shared" si="3"/>
        <v>0.5</v>
      </c>
      <c r="Q261" s="94">
        <f t="shared" si="4"/>
        <v>0.5</v>
      </c>
      <c r="R261" s="95">
        <f t="shared" si="5"/>
        <v>1</v>
      </c>
      <c r="S261" s="95">
        <f t="shared" si="6"/>
        <v>0</v>
      </c>
      <c r="T261" s="95">
        <f t="shared" si="7"/>
        <v>0</v>
      </c>
    </row>
    <row r="262">
      <c r="A262" s="96">
        <v>257.0</v>
      </c>
      <c r="B262" s="97">
        <v>44699.0</v>
      </c>
      <c r="C262" s="96">
        <v>10387.0</v>
      </c>
      <c r="D262" s="98" t="s">
        <v>49</v>
      </c>
      <c r="E262" s="98" t="s">
        <v>160</v>
      </c>
      <c r="F262" s="99">
        <v>0.31875</v>
      </c>
      <c r="G262" s="99">
        <v>0.7180555555555556</v>
      </c>
      <c r="H262" s="101"/>
      <c r="I262" s="92" t="str">
        <f>IFERROR(VLOOKUP(D262,'Công T5'!$C$7:$F$89,4,0),"")</f>
        <v>ĐT</v>
      </c>
      <c r="J262" s="92">
        <f t="shared" si="8"/>
        <v>0.31875</v>
      </c>
      <c r="K262" s="92">
        <f t="shared" si="1"/>
        <v>0.7180555556</v>
      </c>
      <c r="L262" s="92" t="str">
        <f>IFERROR(VLOOKUP(D262,'Công T5'!$C$7:$F$89,2,0),"")</f>
        <v/>
      </c>
      <c r="M262" s="92" t="str">
        <f>IFERROR(VLOOKUP(D262,'Công T5'!$C$7:$F$89,3,0),"")</f>
        <v/>
      </c>
      <c r="N262" s="92">
        <f t="shared" si="9"/>
        <v>0.3333333333</v>
      </c>
      <c r="O262" s="92">
        <f t="shared" si="2"/>
        <v>0.7083333333</v>
      </c>
      <c r="P262" s="94">
        <f t="shared" si="3"/>
        <v>0.5</v>
      </c>
      <c r="Q262" s="94">
        <f t="shared" si="4"/>
        <v>0.5</v>
      </c>
      <c r="R262" s="95">
        <f t="shared" si="5"/>
        <v>1</v>
      </c>
      <c r="S262" s="95">
        <f t="shared" si="6"/>
        <v>0</v>
      </c>
      <c r="T262" s="95">
        <f t="shared" si="7"/>
        <v>0</v>
      </c>
    </row>
    <row r="263">
      <c r="A263" s="96">
        <v>258.0</v>
      </c>
      <c r="B263" s="97">
        <v>44700.0</v>
      </c>
      <c r="C263" s="96">
        <v>10387.0</v>
      </c>
      <c r="D263" s="98" t="s">
        <v>49</v>
      </c>
      <c r="E263" s="98" t="s">
        <v>160</v>
      </c>
      <c r="F263" s="99">
        <v>0.32430555555555557</v>
      </c>
      <c r="G263" s="99">
        <v>0.7131944444444445</v>
      </c>
      <c r="H263" s="101"/>
      <c r="I263" s="92" t="str">
        <f>IFERROR(VLOOKUP(D263,'Công T5'!$C$7:$F$89,4,0),"")</f>
        <v>ĐT</v>
      </c>
      <c r="J263" s="92">
        <f t="shared" si="8"/>
        <v>0.3243055556</v>
      </c>
      <c r="K263" s="92">
        <f t="shared" si="1"/>
        <v>0.7131944444</v>
      </c>
      <c r="L263" s="92" t="str">
        <f>IFERROR(VLOOKUP(D263,'Công T5'!$C$7:$F$89,2,0),"")</f>
        <v/>
      </c>
      <c r="M263" s="92" t="str">
        <f>IFERROR(VLOOKUP(D263,'Công T5'!$C$7:$F$89,3,0),"")</f>
        <v/>
      </c>
      <c r="N263" s="92">
        <f t="shared" si="9"/>
        <v>0.3333333333</v>
      </c>
      <c r="O263" s="92">
        <f t="shared" si="2"/>
        <v>0.7083333333</v>
      </c>
      <c r="P263" s="94">
        <f t="shared" si="3"/>
        <v>0.5</v>
      </c>
      <c r="Q263" s="94">
        <f t="shared" si="4"/>
        <v>0.5</v>
      </c>
      <c r="R263" s="95">
        <f t="shared" si="5"/>
        <v>1</v>
      </c>
      <c r="S263" s="95">
        <f t="shared" si="6"/>
        <v>0</v>
      </c>
      <c r="T263" s="95">
        <f t="shared" si="7"/>
        <v>0</v>
      </c>
    </row>
    <row r="264">
      <c r="A264" s="96">
        <v>259.0</v>
      </c>
      <c r="B264" s="97">
        <v>44701.0</v>
      </c>
      <c r="C264" s="96">
        <v>10387.0</v>
      </c>
      <c r="D264" s="98" t="s">
        <v>49</v>
      </c>
      <c r="E264" s="98" t="s">
        <v>160</v>
      </c>
      <c r="F264" s="99">
        <v>0.32222222222222224</v>
      </c>
      <c r="G264" s="99">
        <v>0.7145833333333333</v>
      </c>
      <c r="H264" s="101"/>
      <c r="I264" s="92" t="str">
        <f>IFERROR(VLOOKUP(D264,'Công T5'!$C$7:$F$89,4,0),"")</f>
        <v>ĐT</v>
      </c>
      <c r="J264" s="92">
        <f t="shared" si="8"/>
        <v>0.3222222222</v>
      </c>
      <c r="K264" s="92">
        <f t="shared" si="1"/>
        <v>0.7145833333</v>
      </c>
      <c r="L264" s="92" t="str">
        <f>IFERROR(VLOOKUP(D264,'Công T5'!$C$7:$F$89,2,0),"")</f>
        <v/>
      </c>
      <c r="M264" s="92" t="str">
        <f>IFERROR(VLOOKUP(D264,'Công T5'!$C$7:$F$89,3,0),"")</f>
        <v/>
      </c>
      <c r="N264" s="92">
        <f t="shared" si="9"/>
        <v>0.3333333333</v>
      </c>
      <c r="O264" s="92">
        <f t="shared" si="2"/>
        <v>0.7083333333</v>
      </c>
      <c r="P264" s="94">
        <f t="shared" si="3"/>
        <v>0.5</v>
      </c>
      <c r="Q264" s="94">
        <f t="shared" si="4"/>
        <v>0.5</v>
      </c>
      <c r="R264" s="95">
        <f t="shared" si="5"/>
        <v>1</v>
      </c>
      <c r="S264" s="95">
        <f t="shared" si="6"/>
        <v>0</v>
      </c>
      <c r="T264" s="95">
        <f t="shared" si="7"/>
        <v>0</v>
      </c>
    </row>
    <row r="265">
      <c r="A265" s="96">
        <v>260.0</v>
      </c>
      <c r="B265" s="103">
        <v>44702.0</v>
      </c>
      <c r="C265" s="96">
        <v>10387.0</v>
      </c>
      <c r="D265" s="98" t="s">
        <v>49</v>
      </c>
      <c r="E265" s="98" t="s">
        <v>160</v>
      </c>
      <c r="F265" s="99">
        <v>0.31805555555555554</v>
      </c>
      <c r="G265" s="99">
        <v>0.7159722222222222</v>
      </c>
      <c r="H265" s="101"/>
      <c r="I265" s="92" t="str">
        <f>IFERROR(VLOOKUP(D265,'Công T5'!$C$7:$F$89,4,0),"")</f>
        <v>ĐT</v>
      </c>
      <c r="J265" s="92">
        <f t="shared" si="8"/>
        <v>0.3180555556</v>
      </c>
      <c r="K265" s="92">
        <f t="shared" si="1"/>
        <v>0.7159722222</v>
      </c>
      <c r="L265" s="92" t="str">
        <f>IFERROR(VLOOKUP(D265,'Công T5'!$C$7:$F$89,2,0),"")</f>
        <v/>
      </c>
      <c r="M265" s="92" t="str">
        <f>IFERROR(VLOOKUP(D265,'Công T5'!$C$7:$F$89,3,0),"")</f>
        <v/>
      </c>
      <c r="N265" s="92">
        <f t="shared" si="9"/>
        <v>0.3333333333</v>
      </c>
      <c r="O265" s="92">
        <f t="shared" si="2"/>
        <v>0.7083333333</v>
      </c>
      <c r="P265" s="94">
        <f t="shared" si="3"/>
        <v>0.5</v>
      </c>
      <c r="Q265" s="94">
        <f t="shared" si="4"/>
        <v>0.5</v>
      </c>
      <c r="R265" s="95">
        <f t="shared" si="5"/>
        <v>1</v>
      </c>
      <c r="S265" s="95">
        <f t="shared" si="6"/>
        <v>0</v>
      </c>
      <c r="T265" s="95">
        <f t="shared" si="7"/>
        <v>0</v>
      </c>
    </row>
    <row r="266">
      <c r="A266" s="96">
        <v>261.0</v>
      </c>
      <c r="B266" s="97">
        <v>44704.0</v>
      </c>
      <c r="C266" s="96">
        <v>10387.0</v>
      </c>
      <c r="D266" s="98" t="s">
        <v>49</v>
      </c>
      <c r="E266" s="98" t="s">
        <v>160</v>
      </c>
      <c r="F266" s="99">
        <v>0.3194444444444444</v>
      </c>
      <c r="G266" s="99">
        <v>0.7194444444444444</v>
      </c>
      <c r="H266" s="101"/>
      <c r="I266" s="92" t="str">
        <f>IFERROR(VLOOKUP(D266,'Công T5'!$C$7:$F$89,4,0),"")</f>
        <v>ĐT</v>
      </c>
      <c r="J266" s="92">
        <f t="shared" si="8"/>
        <v>0.3194444444</v>
      </c>
      <c r="K266" s="92">
        <f t="shared" si="1"/>
        <v>0.7194444444</v>
      </c>
      <c r="L266" s="92" t="str">
        <f>IFERROR(VLOOKUP(D266,'Công T5'!$C$7:$F$89,2,0),"")</f>
        <v/>
      </c>
      <c r="M266" s="92" t="str">
        <f>IFERROR(VLOOKUP(D266,'Công T5'!$C$7:$F$89,3,0),"")</f>
        <v/>
      </c>
      <c r="N266" s="92">
        <f t="shared" si="9"/>
        <v>0.3333333333</v>
      </c>
      <c r="O266" s="92">
        <f t="shared" si="2"/>
        <v>0.7083333333</v>
      </c>
      <c r="P266" s="94">
        <f t="shared" si="3"/>
        <v>0.5</v>
      </c>
      <c r="Q266" s="94">
        <f t="shared" si="4"/>
        <v>0.5</v>
      </c>
      <c r="R266" s="95">
        <f t="shared" si="5"/>
        <v>1</v>
      </c>
      <c r="S266" s="95">
        <f t="shared" si="6"/>
        <v>0</v>
      </c>
      <c r="T266" s="95">
        <f t="shared" si="7"/>
        <v>0</v>
      </c>
    </row>
    <row r="267">
      <c r="A267" s="96">
        <v>262.0</v>
      </c>
      <c r="B267" s="97">
        <v>44705.0</v>
      </c>
      <c r="C267" s="96">
        <v>10387.0</v>
      </c>
      <c r="D267" s="98" t="s">
        <v>49</v>
      </c>
      <c r="E267" s="98" t="s">
        <v>160</v>
      </c>
      <c r="F267" s="99">
        <v>0.3215277777777778</v>
      </c>
      <c r="G267" s="99">
        <v>0.7215277777777778</v>
      </c>
      <c r="H267" s="101"/>
      <c r="I267" s="92" t="str">
        <f>IFERROR(VLOOKUP(D267,'Công T5'!$C$7:$F$89,4,0),"")</f>
        <v>ĐT</v>
      </c>
      <c r="J267" s="92">
        <f t="shared" si="8"/>
        <v>0.3215277778</v>
      </c>
      <c r="K267" s="92">
        <f t="shared" si="1"/>
        <v>0.7215277778</v>
      </c>
      <c r="L267" s="92" t="str">
        <f>IFERROR(VLOOKUP(D267,'Công T5'!$C$7:$F$89,2,0),"")</f>
        <v/>
      </c>
      <c r="M267" s="92" t="str">
        <f>IFERROR(VLOOKUP(D267,'Công T5'!$C$7:$F$89,3,0),"")</f>
        <v/>
      </c>
      <c r="N267" s="92">
        <f t="shared" si="9"/>
        <v>0.3333333333</v>
      </c>
      <c r="O267" s="92">
        <f t="shared" si="2"/>
        <v>0.7083333333</v>
      </c>
      <c r="P267" s="94">
        <f t="shared" si="3"/>
        <v>0.5</v>
      </c>
      <c r="Q267" s="94">
        <f t="shared" si="4"/>
        <v>0.5</v>
      </c>
      <c r="R267" s="95">
        <f t="shared" si="5"/>
        <v>1</v>
      </c>
      <c r="S267" s="95">
        <f t="shared" si="6"/>
        <v>0</v>
      </c>
      <c r="T267" s="95">
        <f t="shared" si="7"/>
        <v>0</v>
      </c>
    </row>
    <row r="268">
      <c r="A268" s="96">
        <v>263.0</v>
      </c>
      <c r="B268" s="97">
        <v>44706.0</v>
      </c>
      <c r="C268" s="96">
        <v>10387.0</v>
      </c>
      <c r="D268" s="98" t="s">
        <v>49</v>
      </c>
      <c r="E268" s="98" t="s">
        <v>160</v>
      </c>
      <c r="F268" s="99">
        <v>0.30972222222222223</v>
      </c>
      <c r="G268" s="99">
        <v>0.6673611111111111</v>
      </c>
      <c r="H268" s="101"/>
      <c r="I268" s="92" t="str">
        <f>IFERROR(VLOOKUP(D268,'Công T5'!$C$7:$F$89,4,0),"")</f>
        <v>ĐT</v>
      </c>
      <c r="J268" s="92">
        <f t="shared" si="8"/>
        <v>0.3097222222</v>
      </c>
      <c r="K268" s="92">
        <f t="shared" si="1"/>
        <v>0.6673611111</v>
      </c>
      <c r="L268" s="92" t="str">
        <f>IFERROR(VLOOKUP(D268,'Công T5'!$C$7:$F$89,2,0),"")</f>
        <v/>
      </c>
      <c r="M268" s="92" t="str">
        <f>IFERROR(VLOOKUP(D268,'Công T5'!$C$7:$F$89,3,0),"")</f>
        <v/>
      </c>
      <c r="N268" s="92">
        <f t="shared" si="9"/>
        <v>0.3333333333</v>
      </c>
      <c r="O268" s="92">
        <f t="shared" si="2"/>
        <v>0.6673611111</v>
      </c>
      <c r="P268" s="94">
        <f t="shared" si="3"/>
        <v>0.5</v>
      </c>
      <c r="Q268" s="94">
        <f t="shared" si="4"/>
        <v>0.3770833333</v>
      </c>
      <c r="R268" s="95">
        <f t="shared" si="5"/>
        <v>0.8770833333</v>
      </c>
      <c r="S268" s="95">
        <f t="shared" si="6"/>
        <v>0</v>
      </c>
      <c r="T268" s="95">
        <f t="shared" si="7"/>
        <v>0</v>
      </c>
    </row>
    <row r="269">
      <c r="A269" s="89" t="s">
        <v>161</v>
      </c>
      <c r="B269" s="90"/>
      <c r="C269" s="90"/>
      <c r="D269" s="90"/>
      <c r="E269" s="90"/>
      <c r="F269" s="90"/>
      <c r="G269" s="90"/>
      <c r="H269" s="91"/>
      <c r="I269" s="92" t="str">
        <f>IFERROR(VLOOKUP(D269,'Công T5'!$C$7:$F$89,4,0),"")</f>
        <v/>
      </c>
      <c r="J269" s="92" t="str">
        <f t="shared" si="8"/>
        <v/>
      </c>
      <c r="K269" s="92" t="str">
        <f t="shared" si="1"/>
        <v/>
      </c>
      <c r="L269" s="92" t="str">
        <f>IFERROR(VLOOKUP(D269,'Công T5'!$C$7:$F$89,2,0),"")</f>
        <v/>
      </c>
      <c r="M269" s="92" t="str">
        <f>IFERROR(VLOOKUP(D269,'Công T5'!$C$7:$F$89,3,0),"")</f>
        <v/>
      </c>
      <c r="N269" s="92" t="str">
        <f t="shared" si="9"/>
        <v/>
      </c>
      <c r="O269" s="92" t="str">
        <f t="shared" si="2"/>
        <v/>
      </c>
      <c r="P269" s="94">
        <f t="shared" si="3"/>
        <v>0</v>
      </c>
      <c r="Q269" s="94" t="str">
        <f t="shared" si="4"/>
        <v/>
      </c>
      <c r="R269" s="95">
        <f t="shared" si="5"/>
        <v>0</v>
      </c>
      <c r="S269" s="95">
        <f t="shared" si="6"/>
        <v>0</v>
      </c>
      <c r="T269" s="95" t="str">
        <f t="shared" si="7"/>
        <v/>
      </c>
    </row>
    <row r="270">
      <c r="A270" s="96">
        <v>1.0</v>
      </c>
      <c r="B270" s="97">
        <v>44677.0</v>
      </c>
      <c r="C270" s="96">
        <v>10403.0</v>
      </c>
      <c r="D270" s="98" t="s">
        <v>83</v>
      </c>
      <c r="E270" s="98" t="s">
        <v>159</v>
      </c>
      <c r="F270" s="99">
        <v>0.3298611111111111</v>
      </c>
      <c r="G270" s="102"/>
      <c r="H270" s="101"/>
      <c r="I270" s="92" t="str">
        <f>IFERROR(VLOOKUP(D270,'Công T5'!$C$7:$F$89,4,0),"")</f>
        <v>NV</v>
      </c>
      <c r="J270" s="92">
        <f t="shared" si="8"/>
        <v>0.3298611111</v>
      </c>
      <c r="K270" s="92" t="str">
        <f t="shared" si="1"/>
        <v/>
      </c>
      <c r="L270" s="92" t="str">
        <f>IFERROR(VLOOKUP(D270,'Công T5'!$C$7:$F$89,2,0),"")</f>
        <v/>
      </c>
      <c r="M270" s="92" t="str">
        <f>IFERROR(VLOOKUP(D270,'Công T5'!$C$7:$F$89,3,0),"")</f>
        <v/>
      </c>
      <c r="N270" s="92">
        <f t="shared" si="9"/>
        <v>0.3333333333</v>
      </c>
      <c r="O270" s="92" t="str">
        <f t="shared" si="2"/>
        <v/>
      </c>
      <c r="P270" s="94">
        <f t="shared" si="3"/>
        <v>0</v>
      </c>
      <c r="Q270" s="94" t="str">
        <f t="shared" si="4"/>
        <v/>
      </c>
      <c r="R270" s="95">
        <f t="shared" si="5"/>
        <v>0.5</v>
      </c>
      <c r="S270" s="95" t="str">
        <f t="shared" si="6"/>
        <v/>
      </c>
      <c r="T270" s="95">
        <f t="shared" si="7"/>
        <v>1</v>
      </c>
    </row>
    <row r="271">
      <c r="A271" s="96">
        <v>2.0</v>
      </c>
      <c r="B271" s="97">
        <v>44678.0</v>
      </c>
      <c r="C271" s="96">
        <v>10403.0</v>
      </c>
      <c r="D271" s="98" t="s">
        <v>83</v>
      </c>
      <c r="E271" s="98" t="s">
        <v>159</v>
      </c>
      <c r="F271" s="99">
        <v>0.33125</v>
      </c>
      <c r="G271" s="99">
        <v>0.7243055555555555</v>
      </c>
      <c r="H271" s="101"/>
      <c r="I271" s="92" t="str">
        <f>IFERROR(VLOOKUP(D271,'Công T5'!$C$7:$F$89,4,0),"")</f>
        <v>NV</v>
      </c>
      <c r="J271" s="92">
        <f t="shared" si="8"/>
        <v>0.33125</v>
      </c>
      <c r="K271" s="92">
        <f t="shared" si="1"/>
        <v>0.7243055556</v>
      </c>
      <c r="L271" s="92" t="str">
        <f>IFERROR(VLOOKUP(D271,'Công T5'!$C$7:$F$89,2,0),"")</f>
        <v/>
      </c>
      <c r="M271" s="92" t="str">
        <f>IFERROR(VLOOKUP(D271,'Công T5'!$C$7:$F$89,3,0),"")</f>
        <v/>
      </c>
      <c r="N271" s="92">
        <f t="shared" si="9"/>
        <v>0.3333333333</v>
      </c>
      <c r="O271" s="92">
        <f t="shared" si="2"/>
        <v>0.7083333333</v>
      </c>
      <c r="P271" s="94">
        <f t="shared" si="3"/>
        <v>0.5</v>
      </c>
      <c r="Q271" s="94">
        <f t="shared" si="4"/>
        <v>0.5</v>
      </c>
      <c r="R271" s="95">
        <f t="shared" si="5"/>
        <v>1</v>
      </c>
      <c r="S271" s="95">
        <f t="shared" si="6"/>
        <v>0</v>
      </c>
      <c r="T271" s="95">
        <f t="shared" si="7"/>
        <v>0</v>
      </c>
    </row>
    <row r="272">
      <c r="A272" s="96">
        <v>3.0</v>
      </c>
      <c r="B272" s="97">
        <v>44679.0</v>
      </c>
      <c r="C272" s="96">
        <v>10403.0</v>
      </c>
      <c r="D272" s="98" t="s">
        <v>83</v>
      </c>
      <c r="E272" s="98" t="s">
        <v>159</v>
      </c>
      <c r="F272" s="99">
        <v>0.3819444444444444</v>
      </c>
      <c r="G272" s="99">
        <v>0.7395833333333334</v>
      </c>
      <c r="H272" s="101"/>
      <c r="I272" s="92" t="str">
        <f>IFERROR(VLOOKUP(D272,'Công T5'!$C$7:$F$89,4,0),"")</f>
        <v>NV</v>
      </c>
      <c r="J272" s="92">
        <f t="shared" si="8"/>
        <v>0.3819444444</v>
      </c>
      <c r="K272" s="92">
        <f t="shared" si="1"/>
        <v>0.7395833333</v>
      </c>
      <c r="L272" s="92" t="str">
        <f>IFERROR(VLOOKUP(D272,'Công T5'!$C$7:$F$89,2,0),"")</f>
        <v/>
      </c>
      <c r="M272" s="92" t="str">
        <f>IFERROR(VLOOKUP(D272,'Công T5'!$C$7:$F$89,3,0),"")</f>
        <v/>
      </c>
      <c r="N272" s="92">
        <f t="shared" si="9"/>
        <v>0.3819444444</v>
      </c>
      <c r="O272" s="92">
        <f t="shared" si="2"/>
        <v>0.7083333333</v>
      </c>
      <c r="P272" s="94">
        <f t="shared" si="3"/>
        <v>0.3541666667</v>
      </c>
      <c r="Q272" s="94">
        <f t="shared" si="4"/>
        <v>0.5</v>
      </c>
      <c r="R272" s="95">
        <f t="shared" si="5"/>
        <v>0.8541666667</v>
      </c>
      <c r="S272" s="95">
        <f t="shared" si="6"/>
        <v>1</v>
      </c>
      <c r="T272" s="95">
        <f t="shared" si="7"/>
        <v>0</v>
      </c>
    </row>
    <row r="273">
      <c r="A273" s="96">
        <v>4.0</v>
      </c>
      <c r="B273" s="97">
        <v>44680.0</v>
      </c>
      <c r="C273" s="96">
        <v>10403.0</v>
      </c>
      <c r="D273" s="98" t="s">
        <v>83</v>
      </c>
      <c r="E273" s="98" t="s">
        <v>159</v>
      </c>
      <c r="F273" s="99">
        <v>0.38819444444444445</v>
      </c>
      <c r="G273" s="99">
        <v>0.7173611111111111</v>
      </c>
      <c r="H273" s="101"/>
      <c r="I273" s="92" t="str">
        <f>IFERROR(VLOOKUP(D273,'Công T5'!$C$7:$F$89,4,0),"")</f>
        <v>NV</v>
      </c>
      <c r="J273" s="92">
        <f t="shared" si="8"/>
        <v>0.3881944444</v>
      </c>
      <c r="K273" s="92">
        <f t="shared" si="1"/>
        <v>0.7173611111</v>
      </c>
      <c r="L273" s="92" t="str">
        <f>IFERROR(VLOOKUP(D273,'Công T5'!$C$7:$F$89,2,0),"")</f>
        <v/>
      </c>
      <c r="M273" s="92" t="str">
        <f>IFERROR(VLOOKUP(D273,'Công T5'!$C$7:$F$89,3,0),"")</f>
        <v/>
      </c>
      <c r="N273" s="92">
        <f t="shared" si="9"/>
        <v>0.3881944444</v>
      </c>
      <c r="O273" s="92">
        <f t="shared" si="2"/>
        <v>0.7083333333</v>
      </c>
      <c r="P273" s="94">
        <f t="shared" si="3"/>
        <v>0.3354166667</v>
      </c>
      <c r="Q273" s="94">
        <f t="shared" si="4"/>
        <v>0.5</v>
      </c>
      <c r="R273" s="95">
        <f t="shared" si="5"/>
        <v>0.8354166667</v>
      </c>
      <c r="S273" s="95">
        <f t="shared" si="6"/>
        <v>1</v>
      </c>
      <c r="T273" s="95">
        <f t="shared" si="7"/>
        <v>0</v>
      </c>
    </row>
    <row r="274">
      <c r="A274" s="96">
        <v>5.0</v>
      </c>
      <c r="B274" s="97">
        <v>44682.0</v>
      </c>
      <c r="C274" s="96">
        <v>10403.0</v>
      </c>
      <c r="D274" s="98" t="s">
        <v>83</v>
      </c>
      <c r="E274" s="98" t="s">
        <v>159</v>
      </c>
      <c r="F274" s="99">
        <v>0.36944444444444446</v>
      </c>
      <c r="G274" s="99">
        <v>0.7736111111111111</v>
      </c>
      <c r="H274" s="101"/>
      <c r="I274" s="92" t="str">
        <f>IFERROR(VLOOKUP(D274,'Công T5'!$C$7:$F$89,4,0),"")</f>
        <v>NV</v>
      </c>
      <c r="J274" s="92">
        <f t="shared" si="8"/>
        <v>0.3694444444</v>
      </c>
      <c r="K274" s="92">
        <f t="shared" si="1"/>
        <v>0.7736111111</v>
      </c>
      <c r="L274" s="92" t="str">
        <f>IFERROR(VLOOKUP(D274,'Công T5'!$C$7:$F$89,2,0),"")</f>
        <v/>
      </c>
      <c r="M274" s="92" t="str">
        <f>IFERROR(VLOOKUP(D274,'Công T5'!$C$7:$F$89,3,0),"")</f>
        <v/>
      </c>
      <c r="N274" s="92">
        <f t="shared" si="9"/>
        <v>0.3694444444</v>
      </c>
      <c r="O274" s="92">
        <f t="shared" si="2"/>
        <v>0.7083333333</v>
      </c>
      <c r="P274" s="94">
        <f t="shared" si="3"/>
        <v>0.3916666667</v>
      </c>
      <c r="Q274" s="94">
        <f t="shared" si="4"/>
        <v>0.5</v>
      </c>
      <c r="R274" s="95">
        <f t="shared" si="5"/>
        <v>0.8916666667</v>
      </c>
      <c r="S274" s="95">
        <f t="shared" si="6"/>
        <v>1</v>
      </c>
      <c r="T274" s="95">
        <f t="shared" si="7"/>
        <v>0</v>
      </c>
    </row>
    <row r="275">
      <c r="A275" s="96">
        <v>6.0</v>
      </c>
      <c r="B275" s="97">
        <v>44685.0</v>
      </c>
      <c r="C275" s="96">
        <v>10403.0</v>
      </c>
      <c r="D275" s="98" t="s">
        <v>83</v>
      </c>
      <c r="E275" s="98" t="s">
        <v>159</v>
      </c>
      <c r="F275" s="99">
        <v>0.3388888888888889</v>
      </c>
      <c r="G275" s="99">
        <v>0.7284722222222222</v>
      </c>
      <c r="H275" s="101"/>
      <c r="I275" s="92" t="str">
        <f>IFERROR(VLOOKUP(D275,'Công T5'!$C$7:$F$89,4,0),"")</f>
        <v>NV</v>
      </c>
      <c r="J275" s="92">
        <f t="shared" si="8"/>
        <v>0.3388888889</v>
      </c>
      <c r="K275" s="92">
        <f t="shared" si="1"/>
        <v>0.7284722222</v>
      </c>
      <c r="L275" s="92" t="str">
        <f>IFERROR(VLOOKUP(D275,'Công T5'!$C$7:$F$89,2,0),"")</f>
        <v/>
      </c>
      <c r="M275" s="92" t="str">
        <f>IFERROR(VLOOKUP(D275,'Công T5'!$C$7:$F$89,3,0),"")</f>
        <v/>
      </c>
      <c r="N275" s="92">
        <f t="shared" si="9"/>
        <v>0.3333333333</v>
      </c>
      <c r="O275" s="92">
        <f t="shared" si="2"/>
        <v>0.7083333333</v>
      </c>
      <c r="P275" s="94">
        <f t="shared" si="3"/>
        <v>0.5</v>
      </c>
      <c r="Q275" s="94">
        <f t="shared" si="4"/>
        <v>0.5</v>
      </c>
      <c r="R275" s="95">
        <f t="shared" si="5"/>
        <v>1</v>
      </c>
      <c r="S275" s="95">
        <f t="shared" si="6"/>
        <v>1</v>
      </c>
      <c r="T275" s="95">
        <f t="shared" si="7"/>
        <v>0</v>
      </c>
    </row>
    <row r="276">
      <c r="A276" s="96">
        <v>7.0</v>
      </c>
      <c r="B276" s="103">
        <v>44686.0</v>
      </c>
      <c r="C276" s="96">
        <v>10403.0</v>
      </c>
      <c r="D276" s="98" t="s">
        <v>83</v>
      </c>
      <c r="E276" s="98" t="s">
        <v>159</v>
      </c>
      <c r="F276" s="99">
        <v>0.32430555555555557</v>
      </c>
      <c r="G276" s="99">
        <v>0.7201388888888889</v>
      </c>
      <c r="H276" s="101"/>
      <c r="I276" s="92" t="str">
        <f>IFERROR(VLOOKUP(D276,'Công T5'!$C$7:$F$89,4,0),"")</f>
        <v>NV</v>
      </c>
      <c r="J276" s="92">
        <f t="shared" si="8"/>
        <v>0.3243055556</v>
      </c>
      <c r="K276" s="92">
        <f t="shared" si="1"/>
        <v>0.7201388889</v>
      </c>
      <c r="L276" s="92" t="str">
        <f>IFERROR(VLOOKUP(D276,'Công T5'!$C$7:$F$89,2,0),"")</f>
        <v/>
      </c>
      <c r="M276" s="92" t="str">
        <f>IFERROR(VLOOKUP(D276,'Công T5'!$C$7:$F$89,3,0),"")</f>
        <v/>
      </c>
      <c r="N276" s="92">
        <f t="shared" si="9"/>
        <v>0.3333333333</v>
      </c>
      <c r="O276" s="92">
        <f t="shared" si="2"/>
        <v>0.7083333333</v>
      </c>
      <c r="P276" s="94">
        <f t="shared" si="3"/>
        <v>0.5</v>
      </c>
      <c r="Q276" s="94">
        <f t="shared" si="4"/>
        <v>0.5</v>
      </c>
      <c r="R276" s="95">
        <f t="shared" si="5"/>
        <v>1</v>
      </c>
      <c r="S276" s="95">
        <f t="shared" si="6"/>
        <v>0</v>
      </c>
      <c r="T276" s="95">
        <f t="shared" si="7"/>
        <v>0</v>
      </c>
    </row>
    <row r="277">
      <c r="A277" s="96">
        <v>8.0</v>
      </c>
      <c r="B277" s="97">
        <v>44687.0</v>
      </c>
      <c r="C277" s="96">
        <v>10403.0</v>
      </c>
      <c r="D277" s="98" t="s">
        <v>83</v>
      </c>
      <c r="E277" s="98" t="s">
        <v>159</v>
      </c>
      <c r="F277" s="99">
        <v>0.35625</v>
      </c>
      <c r="G277" s="99">
        <v>0.7131944444444445</v>
      </c>
      <c r="H277" s="101"/>
      <c r="I277" s="92" t="str">
        <f>IFERROR(VLOOKUP(D277,'Công T5'!$C$7:$F$89,4,0),"")</f>
        <v>NV</v>
      </c>
      <c r="J277" s="92">
        <f t="shared" si="8"/>
        <v>0.35625</v>
      </c>
      <c r="K277" s="92">
        <f t="shared" si="1"/>
        <v>0.7131944444</v>
      </c>
      <c r="L277" s="92" t="str">
        <f>IFERROR(VLOOKUP(D277,'Công T5'!$C$7:$F$89,2,0),"")</f>
        <v/>
      </c>
      <c r="M277" s="92" t="str">
        <f>IFERROR(VLOOKUP(D277,'Công T5'!$C$7:$F$89,3,0),"")</f>
        <v/>
      </c>
      <c r="N277" s="92">
        <f t="shared" si="9"/>
        <v>0.35625</v>
      </c>
      <c r="O277" s="92">
        <f t="shared" si="2"/>
        <v>0.7083333333</v>
      </c>
      <c r="P277" s="94">
        <f t="shared" si="3"/>
        <v>0.43125</v>
      </c>
      <c r="Q277" s="94">
        <f t="shared" si="4"/>
        <v>0.5</v>
      </c>
      <c r="R277" s="95">
        <f t="shared" si="5"/>
        <v>0.93125</v>
      </c>
      <c r="S277" s="95">
        <f t="shared" si="6"/>
        <v>1</v>
      </c>
      <c r="T277" s="95">
        <f t="shared" si="7"/>
        <v>0</v>
      </c>
    </row>
    <row r="278">
      <c r="A278" s="96">
        <v>9.0</v>
      </c>
      <c r="B278" s="97">
        <v>44689.0</v>
      </c>
      <c r="C278" s="96">
        <v>10403.0</v>
      </c>
      <c r="D278" s="98" t="s">
        <v>83</v>
      </c>
      <c r="E278" s="98" t="s">
        <v>159</v>
      </c>
      <c r="F278" s="99">
        <v>0.34305555555555556</v>
      </c>
      <c r="G278" s="102"/>
      <c r="H278" s="101"/>
      <c r="I278" s="92" t="str">
        <f>IFERROR(VLOOKUP(D278,'Công T5'!$C$7:$F$89,4,0),"")</f>
        <v>NV</v>
      </c>
      <c r="J278" s="92">
        <f t="shared" si="8"/>
        <v>0.3430555556</v>
      </c>
      <c r="K278" s="92" t="str">
        <f t="shared" si="1"/>
        <v/>
      </c>
      <c r="L278" s="92" t="str">
        <f>IFERROR(VLOOKUP(D278,'Công T5'!$C$7:$F$89,2,0),"")</f>
        <v/>
      </c>
      <c r="M278" s="92" t="str">
        <f>IFERROR(VLOOKUP(D278,'Công T5'!$C$7:$F$89,3,0),"")</f>
        <v/>
      </c>
      <c r="N278" s="92">
        <f t="shared" si="9"/>
        <v>0.3333333333</v>
      </c>
      <c r="O278" s="92" t="str">
        <f t="shared" si="2"/>
        <v/>
      </c>
      <c r="P278" s="94">
        <f t="shared" si="3"/>
        <v>0</v>
      </c>
      <c r="Q278" s="94" t="str">
        <f t="shared" si="4"/>
        <v/>
      </c>
      <c r="R278" s="95">
        <f t="shared" si="5"/>
        <v>0.5</v>
      </c>
      <c r="S278" s="95" t="str">
        <f t="shared" si="6"/>
        <v/>
      </c>
      <c r="T278" s="95">
        <f t="shared" si="7"/>
        <v>1</v>
      </c>
    </row>
    <row r="279">
      <c r="A279" s="96">
        <v>10.0</v>
      </c>
      <c r="B279" s="97">
        <v>44690.0</v>
      </c>
      <c r="C279" s="96">
        <v>10403.0</v>
      </c>
      <c r="D279" s="98" t="s">
        <v>83</v>
      </c>
      <c r="E279" s="98" t="s">
        <v>159</v>
      </c>
      <c r="F279" s="99">
        <v>0.3958333333333333</v>
      </c>
      <c r="G279" s="99">
        <v>0.7722222222222223</v>
      </c>
      <c r="H279" s="101"/>
      <c r="I279" s="92" t="str">
        <f>IFERROR(VLOOKUP(D279,'Công T5'!$C$7:$F$89,4,0),"")</f>
        <v>NV</v>
      </c>
      <c r="J279" s="92">
        <f t="shared" si="8"/>
        <v>0.3958333333</v>
      </c>
      <c r="K279" s="92">
        <f t="shared" si="1"/>
        <v>0.7722222222</v>
      </c>
      <c r="L279" s="92" t="str">
        <f>IFERROR(VLOOKUP(D279,'Công T5'!$C$7:$F$89,2,0),"")</f>
        <v/>
      </c>
      <c r="M279" s="92" t="str">
        <f>IFERROR(VLOOKUP(D279,'Công T5'!$C$7:$F$89,3,0),"")</f>
        <v/>
      </c>
      <c r="N279" s="92">
        <f t="shared" si="9"/>
        <v>0.3958333333</v>
      </c>
      <c r="O279" s="92">
        <f t="shared" si="2"/>
        <v>0.7083333333</v>
      </c>
      <c r="P279" s="94">
        <f t="shared" si="3"/>
        <v>0.3125</v>
      </c>
      <c r="Q279" s="94">
        <f t="shared" si="4"/>
        <v>0.5</v>
      </c>
      <c r="R279" s="95">
        <f t="shared" si="5"/>
        <v>0.8125</v>
      </c>
      <c r="S279" s="95">
        <f t="shared" si="6"/>
        <v>1</v>
      </c>
      <c r="T279" s="95">
        <f t="shared" si="7"/>
        <v>0</v>
      </c>
    </row>
    <row r="280">
      <c r="A280" s="96">
        <v>11.0</v>
      </c>
      <c r="B280" s="97">
        <v>44691.0</v>
      </c>
      <c r="C280" s="96">
        <v>10403.0</v>
      </c>
      <c r="D280" s="98" t="s">
        <v>83</v>
      </c>
      <c r="E280" s="98" t="s">
        <v>159</v>
      </c>
      <c r="F280" s="99">
        <v>0.42291666666666666</v>
      </c>
      <c r="G280" s="99">
        <v>0.7208333333333333</v>
      </c>
      <c r="H280" s="101"/>
      <c r="I280" s="92" t="str">
        <f>IFERROR(VLOOKUP(D280,'Công T5'!$C$7:$F$89,4,0),"")</f>
        <v>NV</v>
      </c>
      <c r="J280" s="92">
        <f t="shared" si="8"/>
        <v>0.4229166667</v>
      </c>
      <c r="K280" s="92">
        <f t="shared" si="1"/>
        <v>0.7208333333</v>
      </c>
      <c r="L280" s="92" t="str">
        <f>IFERROR(VLOOKUP(D280,'Công T5'!$C$7:$F$89,2,0),"")</f>
        <v/>
      </c>
      <c r="M280" s="92" t="str">
        <f>IFERROR(VLOOKUP(D280,'Công T5'!$C$7:$F$89,3,0),"")</f>
        <v/>
      </c>
      <c r="N280" s="92">
        <f t="shared" si="9"/>
        <v>0.4229166667</v>
      </c>
      <c r="O280" s="92">
        <f t="shared" si="2"/>
        <v>0.7083333333</v>
      </c>
      <c r="P280" s="94">
        <f t="shared" si="3"/>
        <v>0.23125</v>
      </c>
      <c r="Q280" s="94">
        <f t="shared" si="4"/>
        <v>0.5</v>
      </c>
      <c r="R280" s="95">
        <f t="shared" si="5"/>
        <v>0.73125</v>
      </c>
      <c r="S280" s="95">
        <f t="shared" si="6"/>
        <v>1</v>
      </c>
      <c r="T280" s="95">
        <f t="shared" si="7"/>
        <v>0</v>
      </c>
    </row>
    <row r="281">
      <c r="A281" s="96">
        <v>12.0</v>
      </c>
      <c r="B281" s="97">
        <v>44692.0</v>
      </c>
      <c r="C281" s="96">
        <v>10403.0</v>
      </c>
      <c r="D281" s="98" t="s">
        <v>83</v>
      </c>
      <c r="E281" s="98" t="s">
        <v>159</v>
      </c>
      <c r="F281" s="99">
        <v>0.32916666666666666</v>
      </c>
      <c r="G281" s="99">
        <v>0.7215277777777778</v>
      </c>
      <c r="H281" s="101"/>
      <c r="I281" s="92" t="str">
        <f>IFERROR(VLOOKUP(D281,'Công T5'!$C$7:$F$89,4,0),"")</f>
        <v>NV</v>
      </c>
      <c r="J281" s="92">
        <f t="shared" si="8"/>
        <v>0.3291666667</v>
      </c>
      <c r="K281" s="92">
        <f t="shared" si="1"/>
        <v>0.7215277778</v>
      </c>
      <c r="L281" s="92" t="str">
        <f>IFERROR(VLOOKUP(D281,'Công T5'!$C$7:$F$89,2,0),"")</f>
        <v/>
      </c>
      <c r="M281" s="92" t="str">
        <f>IFERROR(VLOOKUP(D281,'Công T5'!$C$7:$F$89,3,0),"")</f>
        <v/>
      </c>
      <c r="N281" s="92">
        <f t="shared" si="9"/>
        <v>0.3333333333</v>
      </c>
      <c r="O281" s="92">
        <f t="shared" si="2"/>
        <v>0.7083333333</v>
      </c>
      <c r="P281" s="94">
        <f t="shared" si="3"/>
        <v>0.5</v>
      </c>
      <c r="Q281" s="94">
        <f t="shared" si="4"/>
        <v>0.5</v>
      </c>
      <c r="R281" s="95">
        <f t="shared" si="5"/>
        <v>1</v>
      </c>
      <c r="S281" s="95">
        <f t="shared" si="6"/>
        <v>0</v>
      </c>
      <c r="T281" s="95">
        <f t="shared" si="7"/>
        <v>0</v>
      </c>
    </row>
    <row r="282">
      <c r="A282" s="96">
        <v>13.0</v>
      </c>
      <c r="B282" s="97">
        <v>44693.0</v>
      </c>
      <c r="C282" s="96">
        <v>10403.0</v>
      </c>
      <c r="D282" s="98" t="s">
        <v>83</v>
      </c>
      <c r="E282" s="98" t="s">
        <v>159</v>
      </c>
      <c r="F282" s="99">
        <v>0.32916666666666666</v>
      </c>
      <c r="G282" s="99">
        <v>0.7229166666666667</v>
      </c>
      <c r="H282" s="101"/>
      <c r="I282" s="92" t="str">
        <f>IFERROR(VLOOKUP(D282,'Công T5'!$C$7:$F$89,4,0),"")</f>
        <v>NV</v>
      </c>
      <c r="J282" s="92">
        <f t="shared" si="8"/>
        <v>0.3291666667</v>
      </c>
      <c r="K282" s="92">
        <f t="shared" si="1"/>
        <v>0.7229166667</v>
      </c>
      <c r="L282" s="92" t="str">
        <f>IFERROR(VLOOKUP(D282,'Công T5'!$C$7:$F$89,2,0),"")</f>
        <v/>
      </c>
      <c r="M282" s="92" t="str">
        <f>IFERROR(VLOOKUP(D282,'Công T5'!$C$7:$F$89,3,0),"")</f>
        <v/>
      </c>
      <c r="N282" s="92">
        <f t="shared" si="9"/>
        <v>0.3333333333</v>
      </c>
      <c r="O282" s="92">
        <f t="shared" si="2"/>
        <v>0.7083333333</v>
      </c>
      <c r="P282" s="94">
        <f t="shared" si="3"/>
        <v>0.5</v>
      </c>
      <c r="Q282" s="94">
        <f t="shared" si="4"/>
        <v>0.5</v>
      </c>
      <c r="R282" s="95">
        <f t="shared" si="5"/>
        <v>1</v>
      </c>
      <c r="S282" s="95">
        <f t="shared" si="6"/>
        <v>0</v>
      </c>
      <c r="T282" s="95">
        <f t="shared" si="7"/>
        <v>0</v>
      </c>
    </row>
    <row r="283">
      <c r="A283" s="96">
        <v>14.0</v>
      </c>
      <c r="B283" s="103">
        <v>44694.0</v>
      </c>
      <c r="C283" s="96">
        <v>10403.0</v>
      </c>
      <c r="D283" s="98" t="s">
        <v>83</v>
      </c>
      <c r="E283" s="98" t="s">
        <v>159</v>
      </c>
      <c r="F283" s="99">
        <v>0.3958333333333333</v>
      </c>
      <c r="G283" s="99">
        <v>0.7277777777777777</v>
      </c>
      <c r="H283" s="101"/>
      <c r="I283" s="92" t="str">
        <f>IFERROR(VLOOKUP(D283,'Công T5'!$C$7:$F$89,4,0),"")</f>
        <v>NV</v>
      </c>
      <c r="J283" s="92">
        <f t="shared" si="8"/>
        <v>0.3958333333</v>
      </c>
      <c r="K283" s="92">
        <f t="shared" si="1"/>
        <v>0.7277777778</v>
      </c>
      <c r="L283" s="92" t="str">
        <f>IFERROR(VLOOKUP(D283,'Công T5'!$C$7:$F$89,2,0),"")</f>
        <v/>
      </c>
      <c r="M283" s="92" t="str">
        <f>IFERROR(VLOOKUP(D283,'Công T5'!$C$7:$F$89,3,0),"")</f>
        <v/>
      </c>
      <c r="N283" s="92">
        <f t="shared" si="9"/>
        <v>0.3958333333</v>
      </c>
      <c r="O283" s="92">
        <f t="shared" si="2"/>
        <v>0.7083333333</v>
      </c>
      <c r="P283" s="94">
        <f t="shared" si="3"/>
        <v>0.3125</v>
      </c>
      <c r="Q283" s="94">
        <f t="shared" si="4"/>
        <v>0.5</v>
      </c>
      <c r="R283" s="95">
        <f t="shared" si="5"/>
        <v>0.8125</v>
      </c>
      <c r="S283" s="95">
        <f t="shared" si="6"/>
        <v>1</v>
      </c>
      <c r="T283" s="95">
        <f t="shared" si="7"/>
        <v>0</v>
      </c>
    </row>
    <row r="284">
      <c r="A284" s="96">
        <v>15.0</v>
      </c>
      <c r="B284" s="97">
        <v>44696.0</v>
      </c>
      <c r="C284" s="96">
        <v>10403.0</v>
      </c>
      <c r="D284" s="98" t="s">
        <v>83</v>
      </c>
      <c r="E284" s="98" t="s">
        <v>159</v>
      </c>
      <c r="F284" s="99">
        <v>0.5402777777777777</v>
      </c>
      <c r="G284" s="99">
        <v>0.7652777777777777</v>
      </c>
      <c r="H284" s="101"/>
      <c r="I284" s="92" t="str">
        <f>IFERROR(VLOOKUP(D284,'Công T5'!$C$7:$F$89,4,0),"")</f>
        <v>NV</v>
      </c>
      <c r="J284" s="92">
        <f t="shared" si="8"/>
        <v>0.5402777778</v>
      </c>
      <c r="K284" s="92">
        <f t="shared" si="1"/>
        <v>0.7652777778</v>
      </c>
      <c r="L284" s="92" t="str">
        <f>IFERROR(VLOOKUP(D284,'Công T5'!$C$7:$F$89,2,0),"")</f>
        <v/>
      </c>
      <c r="M284" s="92" t="str">
        <f>IFERROR(VLOOKUP(D284,'Công T5'!$C$7:$F$89,3,0),"")</f>
        <v/>
      </c>
      <c r="N284" s="92">
        <f t="shared" si="9"/>
        <v>0.5416666667</v>
      </c>
      <c r="O284" s="92">
        <f t="shared" si="2"/>
        <v>0.7083333333</v>
      </c>
      <c r="P284" s="94">
        <f t="shared" si="3"/>
        <v>0</v>
      </c>
      <c r="Q284" s="94">
        <f t="shared" si="4"/>
        <v>0.5</v>
      </c>
      <c r="R284" s="95">
        <f t="shared" si="5"/>
        <v>0.5</v>
      </c>
      <c r="S284" s="95">
        <f t="shared" si="6"/>
        <v>1</v>
      </c>
      <c r="T284" s="95">
        <f t="shared" si="7"/>
        <v>0</v>
      </c>
    </row>
    <row r="285">
      <c r="A285" s="96">
        <v>16.0</v>
      </c>
      <c r="B285" s="97">
        <v>44697.0</v>
      </c>
      <c r="C285" s="96">
        <v>10403.0</v>
      </c>
      <c r="D285" s="98" t="s">
        <v>83</v>
      </c>
      <c r="E285" s="98" t="s">
        <v>159</v>
      </c>
      <c r="F285" s="99">
        <v>0.3923611111111111</v>
      </c>
      <c r="G285" s="99">
        <v>0.6916666666666667</v>
      </c>
      <c r="H285" s="101"/>
      <c r="I285" s="92" t="str">
        <f>IFERROR(VLOOKUP(D285,'Công T5'!$C$7:$F$89,4,0),"")</f>
        <v>NV</v>
      </c>
      <c r="J285" s="92">
        <f t="shared" si="8"/>
        <v>0.3923611111</v>
      </c>
      <c r="K285" s="92">
        <f t="shared" si="1"/>
        <v>0.6916666667</v>
      </c>
      <c r="L285" s="92" t="str">
        <f>IFERROR(VLOOKUP(D285,'Công T5'!$C$7:$F$89,2,0),"")</f>
        <v/>
      </c>
      <c r="M285" s="92" t="str">
        <f>IFERROR(VLOOKUP(D285,'Công T5'!$C$7:$F$89,3,0),"")</f>
        <v/>
      </c>
      <c r="N285" s="92">
        <f t="shared" si="9"/>
        <v>0.3923611111</v>
      </c>
      <c r="O285" s="92">
        <f t="shared" si="2"/>
        <v>0.6916666667</v>
      </c>
      <c r="P285" s="94">
        <f t="shared" si="3"/>
        <v>0.3229166667</v>
      </c>
      <c r="Q285" s="94">
        <f t="shared" si="4"/>
        <v>0.45</v>
      </c>
      <c r="R285" s="95">
        <f t="shared" si="5"/>
        <v>0.7729166667</v>
      </c>
      <c r="S285" s="95">
        <f t="shared" si="6"/>
        <v>1</v>
      </c>
      <c r="T285" s="95">
        <f t="shared" si="7"/>
        <v>0</v>
      </c>
    </row>
    <row r="286">
      <c r="A286" s="96">
        <v>17.0</v>
      </c>
      <c r="B286" s="103">
        <v>44698.0</v>
      </c>
      <c r="C286" s="96">
        <v>10403.0</v>
      </c>
      <c r="D286" s="98" t="s">
        <v>83</v>
      </c>
      <c r="E286" s="98" t="s">
        <v>159</v>
      </c>
      <c r="F286" s="99">
        <v>0.3298611111111111</v>
      </c>
      <c r="G286" s="102"/>
      <c r="H286" s="101"/>
      <c r="I286" s="92" t="str">
        <f>IFERROR(VLOOKUP(D286,'Công T5'!$C$7:$F$89,4,0),"")</f>
        <v>NV</v>
      </c>
      <c r="J286" s="92">
        <f t="shared" si="8"/>
        <v>0.3298611111</v>
      </c>
      <c r="K286" s="92" t="str">
        <f t="shared" si="1"/>
        <v/>
      </c>
      <c r="L286" s="92" t="str">
        <f>IFERROR(VLOOKUP(D286,'Công T5'!$C$7:$F$89,2,0),"")</f>
        <v/>
      </c>
      <c r="M286" s="92" t="str">
        <f>IFERROR(VLOOKUP(D286,'Công T5'!$C$7:$F$89,3,0),"")</f>
        <v/>
      </c>
      <c r="N286" s="92">
        <f t="shared" si="9"/>
        <v>0.3333333333</v>
      </c>
      <c r="O286" s="92" t="str">
        <f t="shared" si="2"/>
        <v/>
      </c>
      <c r="P286" s="94">
        <f t="shared" si="3"/>
        <v>0</v>
      </c>
      <c r="Q286" s="94" t="str">
        <f t="shared" si="4"/>
        <v/>
      </c>
      <c r="R286" s="95">
        <f t="shared" si="5"/>
        <v>0.5</v>
      </c>
      <c r="S286" s="95" t="str">
        <f t="shared" si="6"/>
        <v/>
      </c>
      <c r="T286" s="95">
        <f t="shared" si="7"/>
        <v>1</v>
      </c>
    </row>
    <row r="287">
      <c r="A287" s="96">
        <v>18.0</v>
      </c>
      <c r="B287" s="103">
        <v>44699.0</v>
      </c>
      <c r="C287" s="96">
        <v>10403.0</v>
      </c>
      <c r="D287" s="98" t="s">
        <v>83</v>
      </c>
      <c r="E287" s="98" t="s">
        <v>159</v>
      </c>
      <c r="F287" s="99">
        <v>0.3923611111111111</v>
      </c>
      <c r="G287" s="102"/>
      <c r="H287" s="101"/>
      <c r="I287" s="92" t="str">
        <f>IFERROR(VLOOKUP(D287,'Công T5'!$C$7:$F$89,4,0),"")</f>
        <v>NV</v>
      </c>
      <c r="J287" s="92">
        <f t="shared" si="8"/>
        <v>0.3923611111</v>
      </c>
      <c r="K287" s="92" t="str">
        <f t="shared" si="1"/>
        <v/>
      </c>
      <c r="L287" s="92" t="str">
        <f>IFERROR(VLOOKUP(D287,'Công T5'!$C$7:$F$89,2,0),"")</f>
        <v/>
      </c>
      <c r="M287" s="92" t="str">
        <f>IFERROR(VLOOKUP(D287,'Công T5'!$C$7:$F$89,3,0),"")</f>
        <v/>
      </c>
      <c r="N287" s="92">
        <f t="shared" si="9"/>
        <v>0.3923611111</v>
      </c>
      <c r="O287" s="92" t="str">
        <f t="shared" si="2"/>
        <v/>
      </c>
      <c r="P287" s="94">
        <f t="shared" si="3"/>
        <v>0</v>
      </c>
      <c r="Q287" s="94" t="str">
        <f t="shared" si="4"/>
        <v/>
      </c>
      <c r="R287" s="95">
        <f t="shared" si="5"/>
        <v>0.5</v>
      </c>
      <c r="S287" s="95" t="str">
        <f t="shared" si="6"/>
        <v/>
      </c>
      <c r="T287" s="95">
        <f t="shared" si="7"/>
        <v>1</v>
      </c>
    </row>
    <row r="288">
      <c r="A288" s="96">
        <v>19.0</v>
      </c>
      <c r="B288" s="97">
        <v>44700.0</v>
      </c>
      <c r="C288" s="96">
        <v>10403.0</v>
      </c>
      <c r="D288" s="98" t="s">
        <v>83</v>
      </c>
      <c r="E288" s="98" t="s">
        <v>159</v>
      </c>
      <c r="F288" s="99">
        <v>0.33125</v>
      </c>
      <c r="G288" s="99">
        <v>0.7277777777777777</v>
      </c>
      <c r="H288" s="101"/>
      <c r="I288" s="92" t="str">
        <f>IFERROR(VLOOKUP(D288,'Công T5'!$C$7:$F$89,4,0),"")</f>
        <v>NV</v>
      </c>
      <c r="J288" s="92">
        <f t="shared" si="8"/>
        <v>0.33125</v>
      </c>
      <c r="K288" s="92">
        <f t="shared" si="1"/>
        <v>0.7277777778</v>
      </c>
      <c r="L288" s="92" t="str">
        <f>IFERROR(VLOOKUP(D288,'Công T5'!$C$7:$F$89,2,0),"")</f>
        <v/>
      </c>
      <c r="M288" s="92" t="str">
        <f>IFERROR(VLOOKUP(D288,'Công T5'!$C$7:$F$89,3,0),"")</f>
        <v/>
      </c>
      <c r="N288" s="92">
        <f t="shared" si="9"/>
        <v>0.3333333333</v>
      </c>
      <c r="O288" s="92">
        <f t="shared" si="2"/>
        <v>0.7083333333</v>
      </c>
      <c r="P288" s="94">
        <f t="shared" si="3"/>
        <v>0.5</v>
      </c>
      <c r="Q288" s="94">
        <f t="shared" si="4"/>
        <v>0.5</v>
      </c>
      <c r="R288" s="95">
        <f t="shared" si="5"/>
        <v>1</v>
      </c>
      <c r="S288" s="95">
        <f t="shared" si="6"/>
        <v>0</v>
      </c>
      <c r="T288" s="95">
        <f t="shared" si="7"/>
        <v>0</v>
      </c>
    </row>
    <row r="289">
      <c r="A289" s="96">
        <v>20.0</v>
      </c>
      <c r="B289" s="97">
        <v>44701.0</v>
      </c>
      <c r="C289" s="96">
        <v>10403.0</v>
      </c>
      <c r="D289" s="98" t="s">
        <v>83</v>
      </c>
      <c r="E289" s="98" t="s">
        <v>159</v>
      </c>
      <c r="F289" s="99">
        <v>0.40208333333333335</v>
      </c>
      <c r="G289" s="99">
        <v>0.6784722222222223</v>
      </c>
      <c r="H289" s="101"/>
      <c r="I289" s="92" t="str">
        <f>IFERROR(VLOOKUP(D289,'Công T5'!$C$7:$F$89,4,0),"")</f>
        <v>NV</v>
      </c>
      <c r="J289" s="92">
        <f t="shared" si="8"/>
        <v>0.4020833333</v>
      </c>
      <c r="K289" s="92">
        <f t="shared" si="1"/>
        <v>0.6784722222</v>
      </c>
      <c r="L289" s="92" t="str">
        <f>IFERROR(VLOOKUP(D289,'Công T5'!$C$7:$F$89,2,0),"")</f>
        <v/>
      </c>
      <c r="M289" s="92" t="str">
        <f>IFERROR(VLOOKUP(D289,'Công T5'!$C$7:$F$89,3,0),"")</f>
        <v/>
      </c>
      <c r="N289" s="92">
        <f t="shared" si="9"/>
        <v>0.4020833333</v>
      </c>
      <c r="O289" s="92">
        <f t="shared" si="2"/>
        <v>0.6784722222</v>
      </c>
      <c r="P289" s="94">
        <f t="shared" si="3"/>
        <v>0.29375</v>
      </c>
      <c r="Q289" s="94">
        <f t="shared" si="4"/>
        <v>0.4104166667</v>
      </c>
      <c r="R289" s="95">
        <f t="shared" si="5"/>
        <v>0.7041666667</v>
      </c>
      <c r="S289" s="95">
        <f t="shared" si="6"/>
        <v>1</v>
      </c>
      <c r="T289" s="95">
        <f t="shared" si="7"/>
        <v>0</v>
      </c>
    </row>
    <row r="290">
      <c r="A290" s="96">
        <v>21.0</v>
      </c>
      <c r="B290" s="97">
        <v>44702.0</v>
      </c>
      <c r="C290" s="96">
        <v>10403.0</v>
      </c>
      <c r="D290" s="98" t="s">
        <v>83</v>
      </c>
      <c r="E290" s="98" t="s">
        <v>159</v>
      </c>
      <c r="F290" s="99">
        <v>0.3263888888888889</v>
      </c>
      <c r="G290" s="102"/>
      <c r="H290" s="101"/>
      <c r="I290" s="92" t="str">
        <f>IFERROR(VLOOKUP(D290,'Công T5'!$C$7:$F$89,4,0),"")</f>
        <v>NV</v>
      </c>
      <c r="J290" s="92">
        <f t="shared" si="8"/>
        <v>0.3263888889</v>
      </c>
      <c r="K290" s="92" t="str">
        <f t="shared" si="1"/>
        <v/>
      </c>
      <c r="L290" s="92" t="str">
        <f>IFERROR(VLOOKUP(D290,'Công T5'!$C$7:$F$89,2,0),"")</f>
        <v/>
      </c>
      <c r="M290" s="92" t="str">
        <f>IFERROR(VLOOKUP(D290,'Công T5'!$C$7:$F$89,3,0),"")</f>
        <v/>
      </c>
      <c r="N290" s="92">
        <f t="shared" si="9"/>
        <v>0.3333333333</v>
      </c>
      <c r="O290" s="92" t="str">
        <f t="shared" si="2"/>
        <v/>
      </c>
      <c r="P290" s="94">
        <f t="shared" si="3"/>
        <v>0</v>
      </c>
      <c r="Q290" s="94" t="str">
        <f t="shared" si="4"/>
        <v/>
      </c>
      <c r="R290" s="95">
        <f t="shared" si="5"/>
        <v>0.5</v>
      </c>
      <c r="S290" s="95" t="str">
        <f t="shared" si="6"/>
        <v/>
      </c>
      <c r="T290" s="95">
        <f t="shared" si="7"/>
        <v>1</v>
      </c>
    </row>
    <row r="291">
      <c r="A291" s="96">
        <v>22.0</v>
      </c>
      <c r="B291" s="97">
        <v>44704.0</v>
      </c>
      <c r="C291" s="96">
        <v>10403.0</v>
      </c>
      <c r="D291" s="98" t="s">
        <v>83</v>
      </c>
      <c r="E291" s="98" t="s">
        <v>159</v>
      </c>
      <c r="F291" s="99">
        <v>0.33125</v>
      </c>
      <c r="G291" s="99">
        <v>0.7798611111111111</v>
      </c>
      <c r="H291" s="101"/>
      <c r="I291" s="92" t="str">
        <f>IFERROR(VLOOKUP(D291,'Công T5'!$C$7:$F$89,4,0),"")</f>
        <v>NV</v>
      </c>
      <c r="J291" s="92">
        <f t="shared" si="8"/>
        <v>0.33125</v>
      </c>
      <c r="K291" s="92">
        <f t="shared" si="1"/>
        <v>0.7798611111</v>
      </c>
      <c r="L291" s="92" t="str">
        <f>IFERROR(VLOOKUP(D291,'Công T5'!$C$7:$F$89,2,0),"")</f>
        <v/>
      </c>
      <c r="M291" s="92" t="str">
        <f>IFERROR(VLOOKUP(D291,'Công T5'!$C$7:$F$89,3,0),"")</f>
        <v/>
      </c>
      <c r="N291" s="92">
        <f t="shared" si="9"/>
        <v>0.3333333333</v>
      </c>
      <c r="O291" s="92">
        <f t="shared" si="2"/>
        <v>0.7083333333</v>
      </c>
      <c r="P291" s="94">
        <f t="shared" si="3"/>
        <v>0.5</v>
      </c>
      <c r="Q291" s="94">
        <f t="shared" si="4"/>
        <v>0.5</v>
      </c>
      <c r="R291" s="95">
        <f t="shared" si="5"/>
        <v>1</v>
      </c>
      <c r="S291" s="95">
        <f t="shared" si="6"/>
        <v>0</v>
      </c>
      <c r="T291" s="95">
        <f t="shared" si="7"/>
        <v>0</v>
      </c>
    </row>
    <row r="292">
      <c r="A292" s="96">
        <v>23.0</v>
      </c>
      <c r="B292" s="97">
        <v>44705.0</v>
      </c>
      <c r="C292" s="96">
        <v>10403.0</v>
      </c>
      <c r="D292" s="98" t="s">
        <v>83</v>
      </c>
      <c r="E292" s="98" t="s">
        <v>159</v>
      </c>
      <c r="F292" s="99">
        <v>0.3763888888888889</v>
      </c>
      <c r="G292" s="99">
        <v>0.7430555555555556</v>
      </c>
      <c r="H292" s="101"/>
      <c r="I292" s="92" t="str">
        <f>IFERROR(VLOOKUP(D292,'Công T5'!$C$7:$F$89,4,0),"")</f>
        <v>NV</v>
      </c>
      <c r="J292" s="92">
        <f t="shared" si="8"/>
        <v>0.3763888889</v>
      </c>
      <c r="K292" s="92">
        <f t="shared" si="1"/>
        <v>0.9659722222</v>
      </c>
      <c r="L292" s="92" t="str">
        <f>IFERROR(VLOOKUP(D292,'Công T5'!$C$7:$F$89,2,0),"")</f>
        <v/>
      </c>
      <c r="M292" s="92" t="str">
        <f>IFERROR(VLOOKUP(D292,'Công T5'!$C$7:$F$89,3,0),"")</f>
        <v/>
      </c>
      <c r="N292" s="92">
        <f t="shared" si="9"/>
        <v>0.3763888889</v>
      </c>
      <c r="O292" s="92">
        <f t="shared" si="2"/>
        <v>0.7083333333</v>
      </c>
      <c r="P292" s="94">
        <f t="shared" si="3"/>
        <v>0.3708333333</v>
      </c>
      <c r="Q292" s="94">
        <f t="shared" si="4"/>
        <v>0.5</v>
      </c>
      <c r="R292" s="95">
        <f t="shared" si="5"/>
        <v>0.8708333333</v>
      </c>
      <c r="S292" s="95">
        <f t="shared" si="6"/>
        <v>1</v>
      </c>
      <c r="T292" s="95">
        <f t="shared" si="7"/>
        <v>0</v>
      </c>
    </row>
    <row r="293">
      <c r="A293" s="96">
        <v>24.0</v>
      </c>
      <c r="B293" s="97">
        <v>44705.0</v>
      </c>
      <c r="C293" s="96">
        <v>10403.0</v>
      </c>
      <c r="D293" s="98" t="s">
        <v>83</v>
      </c>
      <c r="E293" s="98" t="s">
        <v>159</v>
      </c>
      <c r="F293" s="99">
        <v>0.9659722222222222</v>
      </c>
      <c r="G293" s="102"/>
      <c r="H293" s="101"/>
      <c r="I293" s="92" t="str">
        <f>IFERROR(VLOOKUP(D293,'Công T5'!$C$7:$F$89,4,0),"")</f>
        <v>NV</v>
      </c>
      <c r="J293" s="92">
        <f t="shared" si="8"/>
        <v>0.9659722222</v>
      </c>
      <c r="K293" s="92" t="str">
        <f t="shared" si="1"/>
        <v/>
      </c>
      <c r="L293" s="92" t="str">
        <f>IFERROR(VLOOKUP(D293,'Công T5'!$C$7:$F$89,2,0),"")</f>
        <v/>
      </c>
      <c r="M293" s="92" t="str">
        <f>IFERROR(VLOOKUP(D293,'Công T5'!$C$7:$F$89,3,0),"")</f>
        <v/>
      </c>
      <c r="N293" s="92">
        <f t="shared" si="9"/>
        <v>0.9659722222</v>
      </c>
      <c r="O293" s="92" t="str">
        <f t="shared" si="2"/>
        <v/>
      </c>
      <c r="P293" s="94">
        <f t="shared" si="3"/>
        <v>0</v>
      </c>
      <c r="Q293" s="94" t="str">
        <f t="shared" si="4"/>
        <v/>
      </c>
      <c r="R293" s="95">
        <f t="shared" si="5"/>
        <v>0.5</v>
      </c>
      <c r="S293" s="95" t="str">
        <f t="shared" si="6"/>
        <v/>
      </c>
      <c r="T293" s="95">
        <f t="shared" si="7"/>
        <v>1</v>
      </c>
    </row>
    <row r="294">
      <c r="A294" s="96">
        <v>25.0</v>
      </c>
      <c r="B294" s="97">
        <v>44706.0</v>
      </c>
      <c r="C294" s="96">
        <v>10403.0</v>
      </c>
      <c r="D294" s="98" t="s">
        <v>83</v>
      </c>
      <c r="E294" s="98" t="s">
        <v>159</v>
      </c>
      <c r="F294" s="99">
        <v>0.37083333333333335</v>
      </c>
      <c r="G294" s="99">
        <v>0.925</v>
      </c>
      <c r="H294" s="101"/>
      <c r="I294" s="92" t="str">
        <f>IFERROR(VLOOKUP(D294,'Công T5'!$C$7:$F$89,4,0),"")</f>
        <v>NV</v>
      </c>
      <c r="J294" s="92">
        <f t="shared" si="8"/>
        <v>0.3708333333</v>
      </c>
      <c r="K294" s="92">
        <f t="shared" si="1"/>
        <v>0.925</v>
      </c>
      <c r="L294" s="92" t="str">
        <f>IFERROR(VLOOKUP(D294,'Công T5'!$C$7:$F$89,2,0),"")</f>
        <v/>
      </c>
      <c r="M294" s="92" t="str">
        <f>IFERROR(VLOOKUP(D294,'Công T5'!$C$7:$F$89,3,0),"")</f>
        <v/>
      </c>
      <c r="N294" s="92">
        <f t="shared" si="9"/>
        <v>0.3708333333</v>
      </c>
      <c r="O294" s="92">
        <f t="shared" si="2"/>
        <v>0.7083333333</v>
      </c>
      <c r="P294" s="94">
        <f t="shared" si="3"/>
        <v>0.3875</v>
      </c>
      <c r="Q294" s="94">
        <f t="shared" si="4"/>
        <v>0.5</v>
      </c>
      <c r="R294" s="95">
        <f t="shared" si="5"/>
        <v>0.8875</v>
      </c>
      <c r="S294" s="95">
        <f t="shared" si="6"/>
        <v>1</v>
      </c>
      <c r="T294" s="95">
        <f t="shared" si="7"/>
        <v>0</v>
      </c>
    </row>
    <row r="295">
      <c r="A295" s="96">
        <v>26.0</v>
      </c>
      <c r="B295" s="97">
        <v>44677.0</v>
      </c>
      <c r="C295" s="96">
        <v>10011.0</v>
      </c>
      <c r="D295" s="98" t="s">
        <v>80</v>
      </c>
      <c r="E295" s="98" t="s">
        <v>159</v>
      </c>
      <c r="F295" s="99">
        <v>0.33541666666666664</v>
      </c>
      <c r="G295" s="99">
        <v>0.7152777777777778</v>
      </c>
      <c r="H295" s="101"/>
      <c r="I295" s="92" t="str">
        <f>IFERROR(VLOOKUP(D295,'Công T5'!$C$7:$F$89,4,0),"")</f>
        <v>NV</v>
      </c>
      <c r="J295" s="92">
        <f t="shared" si="8"/>
        <v>0.3354166667</v>
      </c>
      <c r="K295" s="92">
        <f t="shared" si="1"/>
        <v>0.7152777778</v>
      </c>
      <c r="L295" s="92" t="str">
        <f>IFERROR(VLOOKUP(D295,'Công T5'!$C$7:$F$89,2,0),"")</f>
        <v/>
      </c>
      <c r="M295" s="92" t="str">
        <f>IFERROR(VLOOKUP(D295,'Công T5'!$C$7:$F$89,3,0),"")</f>
        <v/>
      </c>
      <c r="N295" s="92">
        <f t="shared" si="9"/>
        <v>0.3333333333</v>
      </c>
      <c r="O295" s="92">
        <f t="shared" si="2"/>
        <v>0.7083333333</v>
      </c>
      <c r="P295" s="94">
        <f t="shared" si="3"/>
        <v>0.5</v>
      </c>
      <c r="Q295" s="94">
        <f t="shared" si="4"/>
        <v>0.5</v>
      </c>
      <c r="R295" s="95">
        <f t="shared" si="5"/>
        <v>1</v>
      </c>
      <c r="S295" s="95">
        <f t="shared" si="6"/>
        <v>1</v>
      </c>
      <c r="T295" s="95">
        <f t="shared" si="7"/>
        <v>0</v>
      </c>
    </row>
    <row r="296">
      <c r="A296" s="96">
        <v>27.0</v>
      </c>
      <c r="B296" s="97">
        <v>44678.0</v>
      </c>
      <c r="C296" s="96">
        <v>10011.0</v>
      </c>
      <c r="D296" s="98" t="s">
        <v>80</v>
      </c>
      <c r="E296" s="98" t="s">
        <v>159</v>
      </c>
      <c r="F296" s="99">
        <v>0.33194444444444443</v>
      </c>
      <c r="G296" s="102"/>
      <c r="H296" s="101"/>
      <c r="I296" s="92" t="str">
        <f>IFERROR(VLOOKUP(D296,'Công T5'!$C$7:$F$89,4,0),"")</f>
        <v>NV</v>
      </c>
      <c r="J296" s="92">
        <f t="shared" si="8"/>
        <v>0.3319444444</v>
      </c>
      <c r="K296" s="92" t="str">
        <f t="shared" si="1"/>
        <v/>
      </c>
      <c r="L296" s="92" t="str">
        <f>IFERROR(VLOOKUP(D296,'Công T5'!$C$7:$F$89,2,0),"")</f>
        <v/>
      </c>
      <c r="M296" s="92" t="str">
        <f>IFERROR(VLOOKUP(D296,'Công T5'!$C$7:$F$89,3,0),"")</f>
        <v/>
      </c>
      <c r="N296" s="92">
        <f t="shared" si="9"/>
        <v>0.3333333333</v>
      </c>
      <c r="O296" s="92" t="str">
        <f t="shared" si="2"/>
        <v/>
      </c>
      <c r="P296" s="94">
        <f t="shared" si="3"/>
        <v>0</v>
      </c>
      <c r="Q296" s="94" t="str">
        <f t="shared" si="4"/>
        <v/>
      </c>
      <c r="R296" s="95">
        <f t="shared" si="5"/>
        <v>0.5</v>
      </c>
      <c r="S296" s="95" t="str">
        <f t="shared" si="6"/>
        <v/>
      </c>
      <c r="T296" s="95">
        <f t="shared" si="7"/>
        <v>1</v>
      </c>
    </row>
    <row r="297">
      <c r="A297" s="96">
        <v>28.0</v>
      </c>
      <c r="B297" s="97">
        <v>44679.0</v>
      </c>
      <c r="C297" s="96">
        <v>10011.0</v>
      </c>
      <c r="D297" s="98" t="s">
        <v>80</v>
      </c>
      <c r="E297" s="98" t="s">
        <v>159</v>
      </c>
      <c r="F297" s="99">
        <v>0.33402777777777776</v>
      </c>
      <c r="G297" s="99">
        <v>0.7326388888888888</v>
      </c>
      <c r="H297" s="101"/>
      <c r="I297" s="92" t="str">
        <f>IFERROR(VLOOKUP(D297,'Công T5'!$C$7:$F$89,4,0),"")</f>
        <v>NV</v>
      </c>
      <c r="J297" s="92">
        <f t="shared" si="8"/>
        <v>0.3340277778</v>
      </c>
      <c r="K297" s="92">
        <f t="shared" si="1"/>
        <v>0.7326388889</v>
      </c>
      <c r="L297" s="92" t="str">
        <f>IFERROR(VLOOKUP(D297,'Công T5'!$C$7:$F$89,2,0),"")</f>
        <v/>
      </c>
      <c r="M297" s="92" t="str">
        <f>IFERROR(VLOOKUP(D297,'Công T5'!$C$7:$F$89,3,0),"")</f>
        <v/>
      </c>
      <c r="N297" s="92">
        <f t="shared" si="9"/>
        <v>0.3333333333</v>
      </c>
      <c r="O297" s="92">
        <f t="shared" si="2"/>
        <v>0.7083333333</v>
      </c>
      <c r="P297" s="94">
        <f t="shared" si="3"/>
        <v>0.5</v>
      </c>
      <c r="Q297" s="94">
        <f t="shared" si="4"/>
        <v>0.5</v>
      </c>
      <c r="R297" s="95">
        <f t="shared" si="5"/>
        <v>1</v>
      </c>
      <c r="S297" s="95">
        <f t="shared" si="6"/>
        <v>1</v>
      </c>
      <c r="T297" s="95">
        <f t="shared" si="7"/>
        <v>0</v>
      </c>
    </row>
    <row r="298">
      <c r="A298" s="96">
        <v>29.0</v>
      </c>
      <c r="B298" s="103">
        <v>44680.0</v>
      </c>
      <c r="C298" s="96">
        <v>10011.0</v>
      </c>
      <c r="D298" s="98" t="s">
        <v>80</v>
      </c>
      <c r="E298" s="98" t="s">
        <v>159</v>
      </c>
      <c r="F298" s="99">
        <v>0.33055555555555555</v>
      </c>
      <c r="G298" s="99">
        <v>0.7243055555555555</v>
      </c>
      <c r="H298" s="101"/>
      <c r="I298" s="92" t="str">
        <f>IFERROR(VLOOKUP(D298,'Công T5'!$C$7:$F$89,4,0),"")</f>
        <v>NV</v>
      </c>
      <c r="J298" s="92">
        <f t="shared" si="8"/>
        <v>0.3305555556</v>
      </c>
      <c r="K298" s="92">
        <f t="shared" si="1"/>
        <v>0.7243055556</v>
      </c>
      <c r="L298" s="92" t="str">
        <f>IFERROR(VLOOKUP(D298,'Công T5'!$C$7:$F$89,2,0),"")</f>
        <v/>
      </c>
      <c r="M298" s="92" t="str">
        <f>IFERROR(VLOOKUP(D298,'Công T5'!$C$7:$F$89,3,0),"")</f>
        <v/>
      </c>
      <c r="N298" s="92">
        <f t="shared" si="9"/>
        <v>0.3333333333</v>
      </c>
      <c r="O298" s="92">
        <f t="shared" si="2"/>
        <v>0.7083333333</v>
      </c>
      <c r="P298" s="94">
        <f t="shared" si="3"/>
        <v>0.5</v>
      </c>
      <c r="Q298" s="94">
        <f t="shared" si="4"/>
        <v>0.5</v>
      </c>
      <c r="R298" s="95">
        <f t="shared" si="5"/>
        <v>1</v>
      </c>
      <c r="S298" s="95">
        <f t="shared" si="6"/>
        <v>0</v>
      </c>
      <c r="T298" s="95">
        <f t="shared" si="7"/>
        <v>0</v>
      </c>
    </row>
    <row r="299">
      <c r="A299" s="96">
        <v>30.0</v>
      </c>
      <c r="B299" s="97">
        <v>44685.0</v>
      </c>
      <c r="C299" s="96">
        <v>10011.0</v>
      </c>
      <c r="D299" s="98" t="s">
        <v>80</v>
      </c>
      <c r="E299" s="98" t="s">
        <v>159</v>
      </c>
      <c r="F299" s="99">
        <v>0.33402777777777776</v>
      </c>
      <c r="G299" s="99">
        <v>0.71875</v>
      </c>
      <c r="H299" s="101"/>
      <c r="I299" s="92" t="str">
        <f>IFERROR(VLOOKUP(D299,'Công T5'!$C$7:$F$89,4,0),"")</f>
        <v>NV</v>
      </c>
      <c r="J299" s="92">
        <f t="shared" si="8"/>
        <v>0.3340277778</v>
      </c>
      <c r="K299" s="92">
        <f t="shared" si="1"/>
        <v>0.71875</v>
      </c>
      <c r="L299" s="92" t="str">
        <f>IFERROR(VLOOKUP(D299,'Công T5'!$C$7:$F$89,2,0),"")</f>
        <v/>
      </c>
      <c r="M299" s="92" t="str">
        <f>IFERROR(VLOOKUP(D299,'Công T5'!$C$7:$F$89,3,0),"")</f>
        <v/>
      </c>
      <c r="N299" s="92">
        <f t="shared" si="9"/>
        <v>0.3333333333</v>
      </c>
      <c r="O299" s="92">
        <f t="shared" si="2"/>
        <v>0.7083333333</v>
      </c>
      <c r="P299" s="94">
        <f t="shared" si="3"/>
        <v>0.5</v>
      </c>
      <c r="Q299" s="94">
        <f t="shared" si="4"/>
        <v>0.5</v>
      </c>
      <c r="R299" s="95">
        <f t="shared" si="5"/>
        <v>1</v>
      </c>
      <c r="S299" s="95">
        <f t="shared" si="6"/>
        <v>1</v>
      </c>
      <c r="T299" s="95">
        <f t="shared" si="7"/>
        <v>0</v>
      </c>
    </row>
    <row r="300">
      <c r="A300" s="96">
        <v>31.0</v>
      </c>
      <c r="B300" s="97">
        <v>44686.0</v>
      </c>
      <c r="C300" s="96">
        <v>10011.0</v>
      </c>
      <c r="D300" s="98" t="s">
        <v>80</v>
      </c>
      <c r="E300" s="98" t="s">
        <v>159</v>
      </c>
      <c r="F300" s="99">
        <v>0.3277777777777778</v>
      </c>
      <c r="G300" s="99">
        <v>0.7159722222222222</v>
      </c>
      <c r="H300" s="101"/>
      <c r="I300" s="92" t="str">
        <f>IFERROR(VLOOKUP(D300,'Công T5'!$C$7:$F$89,4,0),"")</f>
        <v>NV</v>
      </c>
      <c r="J300" s="92">
        <f t="shared" si="8"/>
        <v>0.3277777778</v>
      </c>
      <c r="K300" s="92">
        <f t="shared" si="1"/>
        <v>0.7159722222</v>
      </c>
      <c r="L300" s="92" t="str">
        <f>IFERROR(VLOOKUP(D300,'Công T5'!$C$7:$F$89,2,0),"")</f>
        <v/>
      </c>
      <c r="M300" s="92" t="str">
        <f>IFERROR(VLOOKUP(D300,'Công T5'!$C$7:$F$89,3,0),"")</f>
        <v/>
      </c>
      <c r="N300" s="92">
        <f t="shared" si="9"/>
        <v>0.3333333333</v>
      </c>
      <c r="O300" s="92">
        <f t="shared" si="2"/>
        <v>0.7083333333</v>
      </c>
      <c r="P300" s="94">
        <f t="shared" si="3"/>
        <v>0.5</v>
      </c>
      <c r="Q300" s="94">
        <f t="shared" si="4"/>
        <v>0.5</v>
      </c>
      <c r="R300" s="95">
        <f t="shared" si="5"/>
        <v>1</v>
      </c>
      <c r="S300" s="95">
        <f t="shared" si="6"/>
        <v>0</v>
      </c>
      <c r="T300" s="95">
        <f t="shared" si="7"/>
        <v>0</v>
      </c>
    </row>
    <row r="301">
      <c r="A301" s="96">
        <v>32.0</v>
      </c>
      <c r="B301" s="97">
        <v>44687.0</v>
      </c>
      <c r="C301" s="96">
        <v>10011.0</v>
      </c>
      <c r="D301" s="98" t="s">
        <v>80</v>
      </c>
      <c r="E301" s="98" t="s">
        <v>159</v>
      </c>
      <c r="F301" s="99">
        <v>0.3375</v>
      </c>
      <c r="G301" s="99">
        <v>0.725</v>
      </c>
      <c r="H301" s="101"/>
      <c r="I301" s="92" t="str">
        <f>IFERROR(VLOOKUP(D301,'Công T5'!$C$7:$F$89,4,0),"")</f>
        <v>NV</v>
      </c>
      <c r="J301" s="92">
        <f t="shared" si="8"/>
        <v>0.3375</v>
      </c>
      <c r="K301" s="92">
        <f t="shared" si="1"/>
        <v>0.725</v>
      </c>
      <c r="L301" s="92" t="str">
        <f>IFERROR(VLOOKUP(D301,'Công T5'!$C$7:$F$89,2,0),"")</f>
        <v/>
      </c>
      <c r="M301" s="92" t="str">
        <f>IFERROR(VLOOKUP(D301,'Công T5'!$C$7:$F$89,3,0),"")</f>
        <v/>
      </c>
      <c r="N301" s="92">
        <f t="shared" si="9"/>
        <v>0.3333333333</v>
      </c>
      <c r="O301" s="92">
        <f t="shared" si="2"/>
        <v>0.7083333333</v>
      </c>
      <c r="P301" s="94">
        <f t="shared" si="3"/>
        <v>0.5</v>
      </c>
      <c r="Q301" s="94">
        <f t="shared" si="4"/>
        <v>0.5</v>
      </c>
      <c r="R301" s="95">
        <f t="shared" si="5"/>
        <v>1</v>
      </c>
      <c r="S301" s="95">
        <f t="shared" si="6"/>
        <v>1</v>
      </c>
      <c r="T301" s="95">
        <f t="shared" si="7"/>
        <v>0</v>
      </c>
    </row>
    <row r="302">
      <c r="A302" s="96">
        <v>33.0</v>
      </c>
      <c r="B302" s="97">
        <v>44688.0</v>
      </c>
      <c r="C302" s="96">
        <v>10011.0</v>
      </c>
      <c r="D302" s="98" t="s">
        <v>80</v>
      </c>
      <c r="E302" s="98" t="s">
        <v>159</v>
      </c>
      <c r="F302" s="99">
        <v>0.3298611111111111</v>
      </c>
      <c r="G302" s="99">
        <v>0.7263888888888889</v>
      </c>
      <c r="H302" s="101"/>
      <c r="I302" s="92" t="str">
        <f>IFERROR(VLOOKUP(D302,'Công T5'!$C$7:$F$89,4,0),"")</f>
        <v>NV</v>
      </c>
      <c r="J302" s="92">
        <f t="shared" si="8"/>
        <v>0.3298611111</v>
      </c>
      <c r="K302" s="92">
        <f t="shared" si="1"/>
        <v>0.7263888889</v>
      </c>
      <c r="L302" s="92" t="str">
        <f>IFERROR(VLOOKUP(D302,'Công T5'!$C$7:$F$89,2,0),"")</f>
        <v/>
      </c>
      <c r="M302" s="92" t="str">
        <f>IFERROR(VLOOKUP(D302,'Công T5'!$C$7:$F$89,3,0),"")</f>
        <v/>
      </c>
      <c r="N302" s="92">
        <f t="shared" si="9"/>
        <v>0.3333333333</v>
      </c>
      <c r="O302" s="92">
        <f t="shared" si="2"/>
        <v>0.7083333333</v>
      </c>
      <c r="P302" s="94">
        <f t="shared" si="3"/>
        <v>0.5</v>
      </c>
      <c r="Q302" s="94">
        <f t="shared" si="4"/>
        <v>0.5</v>
      </c>
      <c r="R302" s="95">
        <f t="shared" si="5"/>
        <v>1</v>
      </c>
      <c r="S302" s="95">
        <f t="shared" si="6"/>
        <v>0</v>
      </c>
      <c r="T302" s="95">
        <f t="shared" si="7"/>
        <v>0</v>
      </c>
    </row>
    <row r="303">
      <c r="A303" s="96">
        <v>34.0</v>
      </c>
      <c r="B303" s="97">
        <v>44690.0</v>
      </c>
      <c r="C303" s="96">
        <v>10011.0</v>
      </c>
      <c r="D303" s="98" t="s">
        <v>80</v>
      </c>
      <c r="E303" s="98" t="s">
        <v>159</v>
      </c>
      <c r="F303" s="99">
        <v>0.33194444444444443</v>
      </c>
      <c r="G303" s="99">
        <v>0.7166666666666667</v>
      </c>
      <c r="H303" s="101"/>
      <c r="I303" s="92" t="str">
        <f>IFERROR(VLOOKUP(D303,'Công T5'!$C$7:$F$89,4,0),"")</f>
        <v>NV</v>
      </c>
      <c r="J303" s="92">
        <f t="shared" si="8"/>
        <v>0.3319444444</v>
      </c>
      <c r="K303" s="92">
        <f t="shared" si="1"/>
        <v>0.7166666667</v>
      </c>
      <c r="L303" s="92" t="str">
        <f>IFERROR(VLOOKUP(D303,'Công T5'!$C$7:$F$89,2,0),"")</f>
        <v/>
      </c>
      <c r="M303" s="92" t="str">
        <f>IFERROR(VLOOKUP(D303,'Công T5'!$C$7:$F$89,3,0),"")</f>
        <v/>
      </c>
      <c r="N303" s="92">
        <f t="shared" si="9"/>
        <v>0.3333333333</v>
      </c>
      <c r="O303" s="92">
        <f t="shared" si="2"/>
        <v>0.7083333333</v>
      </c>
      <c r="P303" s="94">
        <f t="shared" si="3"/>
        <v>0.5</v>
      </c>
      <c r="Q303" s="94">
        <f t="shared" si="4"/>
        <v>0.5</v>
      </c>
      <c r="R303" s="95">
        <f t="shared" si="5"/>
        <v>1</v>
      </c>
      <c r="S303" s="95">
        <f t="shared" si="6"/>
        <v>0</v>
      </c>
      <c r="T303" s="95">
        <f t="shared" si="7"/>
        <v>0</v>
      </c>
    </row>
    <row r="304">
      <c r="A304" s="96">
        <v>35.0</v>
      </c>
      <c r="B304" s="97">
        <v>44691.0</v>
      </c>
      <c r="C304" s="96">
        <v>10011.0</v>
      </c>
      <c r="D304" s="98" t="s">
        <v>80</v>
      </c>
      <c r="E304" s="98" t="s">
        <v>159</v>
      </c>
      <c r="F304" s="99">
        <v>0.3284722222222222</v>
      </c>
      <c r="G304" s="99">
        <v>0.7298611111111111</v>
      </c>
      <c r="H304" s="101"/>
      <c r="I304" s="92" t="str">
        <f>IFERROR(VLOOKUP(D304,'Công T5'!$C$7:$F$89,4,0),"")</f>
        <v>NV</v>
      </c>
      <c r="J304" s="92">
        <f t="shared" si="8"/>
        <v>0.3284722222</v>
      </c>
      <c r="K304" s="92">
        <f t="shared" si="1"/>
        <v>0.7298611111</v>
      </c>
      <c r="L304" s="92" t="str">
        <f>IFERROR(VLOOKUP(D304,'Công T5'!$C$7:$F$89,2,0),"")</f>
        <v/>
      </c>
      <c r="M304" s="92" t="str">
        <f>IFERROR(VLOOKUP(D304,'Công T5'!$C$7:$F$89,3,0),"")</f>
        <v/>
      </c>
      <c r="N304" s="92">
        <f t="shared" si="9"/>
        <v>0.3333333333</v>
      </c>
      <c r="O304" s="92">
        <f t="shared" si="2"/>
        <v>0.7083333333</v>
      </c>
      <c r="P304" s="94">
        <f t="shared" si="3"/>
        <v>0.5</v>
      </c>
      <c r="Q304" s="94">
        <f t="shared" si="4"/>
        <v>0.5</v>
      </c>
      <c r="R304" s="95">
        <f t="shared" si="5"/>
        <v>1</v>
      </c>
      <c r="S304" s="95">
        <f t="shared" si="6"/>
        <v>0</v>
      </c>
      <c r="T304" s="95">
        <f t="shared" si="7"/>
        <v>0</v>
      </c>
    </row>
    <row r="305">
      <c r="A305" s="96">
        <v>36.0</v>
      </c>
      <c r="B305" s="97">
        <v>44692.0</v>
      </c>
      <c r="C305" s="96">
        <v>10011.0</v>
      </c>
      <c r="D305" s="98" t="s">
        <v>80</v>
      </c>
      <c r="E305" s="98" t="s">
        <v>159</v>
      </c>
      <c r="F305" s="99">
        <v>0.33402777777777776</v>
      </c>
      <c r="G305" s="99">
        <v>0.7243055555555555</v>
      </c>
      <c r="H305" s="101"/>
      <c r="I305" s="92" t="str">
        <f>IFERROR(VLOOKUP(D305,'Công T5'!$C$7:$F$89,4,0),"")</f>
        <v>NV</v>
      </c>
      <c r="J305" s="92">
        <f t="shared" si="8"/>
        <v>0.3340277778</v>
      </c>
      <c r="K305" s="92">
        <f t="shared" si="1"/>
        <v>0.7243055556</v>
      </c>
      <c r="L305" s="92" t="str">
        <f>IFERROR(VLOOKUP(D305,'Công T5'!$C$7:$F$89,2,0),"")</f>
        <v/>
      </c>
      <c r="M305" s="92" t="str">
        <f>IFERROR(VLOOKUP(D305,'Công T5'!$C$7:$F$89,3,0),"")</f>
        <v/>
      </c>
      <c r="N305" s="92">
        <f t="shared" si="9"/>
        <v>0.3333333333</v>
      </c>
      <c r="O305" s="92">
        <f t="shared" si="2"/>
        <v>0.7083333333</v>
      </c>
      <c r="P305" s="94">
        <f t="shared" si="3"/>
        <v>0.5</v>
      </c>
      <c r="Q305" s="94">
        <f t="shared" si="4"/>
        <v>0.5</v>
      </c>
      <c r="R305" s="95">
        <f t="shared" si="5"/>
        <v>1</v>
      </c>
      <c r="S305" s="95">
        <f t="shared" si="6"/>
        <v>1</v>
      </c>
      <c r="T305" s="95">
        <f t="shared" si="7"/>
        <v>0</v>
      </c>
    </row>
    <row r="306">
      <c r="A306" s="96">
        <v>37.0</v>
      </c>
      <c r="B306" s="103">
        <v>44693.0</v>
      </c>
      <c r="C306" s="96">
        <v>10011.0</v>
      </c>
      <c r="D306" s="98" t="s">
        <v>80</v>
      </c>
      <c r="E306" s="98" t="s">
        <v>159</v>
      </c>
      <c r="F306" s="99">
        <v>0.3326388888888889</v>
      </c>
      <c r="G306" s="99">
        <v>0.725</v>
      </c>
      <c r="H306" s="101"/>
      <c r="I306" s="92" t="str">
        <f>IFERROR(VLOOKUP(D306,'Công T5'!$C$7:$F$89,4,0),"")</f>
        <v>NV</v>
      </c>
      <c r="J306" s="92">
        <f t="shared" si="8"/>
        <v>0.3326388889</v>
      </c>
      <c r="K306" s="92">
        <f t="shared" si="1"/>
        <v>0.725</v>
      </c>
      <c r="L306" s="92" t="str">
        <f>IFERROR(VLOOKUP(D306,'Công T5'!$C$7:$F$89,2,0),"")</f>
        <v/>
      </c>
      <c r="M306" s="92" t="str">
        <f>IFERROR(VLOOKUP(D306,'Công T5'!$C$7:$F$89,3,0),"")</f>
        <v/>
      </c>
      <c r="N306" s="92">
        <f t="shared" si="9"/>
        <v>0.3333333333</v>
      </c>
      <c r="O306" s="92">
        <f t="shared" si="2"/>
        <v>0.7083333333</v>
      </c>
      <c r="P306" s="94">
        <f t="shared" si="3"/>
        <v>0.5</v>
      </c>
      <c r="Q306" s="94">
        <f t="shared" si="4"/>
        <v>0.5</v>
      </c>
      <c r="R306" s="95">
        <f t="shared" si="5"/>
        <v>1</v>
      </c>
      <c r="S306" s="95">
        <f t="shared" si="6"/>
        <v>0</v>
      </c>
      <c r="T306" s="95">
        <f t="shared" si="7"/>
        <v>0</v>
      </c>
    </row>
    <row r="307">
      <c r="A307" s="96">
        <v>38.0</v>
      </c>
      <c r="B307" s="103">
        <v>44694.0</v>
      </c>
      <c r="C307" s="96">
        <v>10011.0</v>
      </c>
      <c r="D307" s="98" t="s">
        <v>80</v>
      </c>
      <c r="E307" s="98" t="s">
        <v>159</v>
      </c>
      <c r="F307" s="99">
        <v>0.33402777777777776</v>
      </c>
      <c r="G307" s="99">
        <v>0.71875</v>
      </c>
      <c r="H307" s="101"/>
      <c r="I307" s="92" t="str">
        <f>IFERROR(VLOOKUP(D307,'Công T5'!$C$7:$F$89,4,0),"")</f>
        <v>NV</v>
      </c>
      <c r="J307" s="92">
        <f t="shared" si="8"/>
        <v>0.3340277778</v>
      </c>
      <c r="K307" s="92">
        <f t="shared" si="1"/>
        <v>0.71875</v>
      </c>
      <c r="L307" s="92" t="str">
        <f>IFERROR(VLOOKUP(D307,'Công T5'!$C$7:$F$89,2,0),"")</f>
        <v/>
      </c>
      <c r="M307" s="92" t="str">
        <f>IFERROR(VLOOKUP(D307,'Công T5'!$C$7:$F$89,3,0),"")</f>
        <v/>
      </c>
      <c r="N307" s="92">
        <f t="shared" si="9"/>
        <v>0.3333333333</v>
      </c>
      <c r="O307" s="92">
        <f t="shared" si="2"/>
        <v>0.7083333333</v>
      </c>
      <c r="P307" s="94">
        <f t="shared" si="3"/>
        <v>0.5</v>
      </c>
      <c r="Q307" s="94">
        <f t="shared" si="4"/>
        <v>0.5</v>
      </c>
      <c r="R307" s="95">
        <f t="shared" si="5"/>
        <v>1</v>
      </c>
      <c r="S307" s="95">
        <f t="shared" si="6"/>
        <v>1</v>
      </c>
      <c r="T307" s="95">
        <f t="shared" si="7"/>
        <v>0</v>
      </c>
    </row>
    <row r="308">
      <c r="A308" s="96">
        <v>39.0</v>
      </c>
      <c r="B308" s="103">
        <v>44697.0</v>
      </c>
      <c r="C308" s="96">
        <v>10011.0</v>
      </c>
      <c r="D308" s="98" t="s">
        <v>80</v>
      </c>
      <c r="E308" s="98" t="s">
        <v>159</v>
      </c>
      <c r="F308" s="99">
        <v>0.33402777777777776</v>
      </c>
      <c r="G308" s="99">
        <v>0.7381944444444445</v>
      </c>
      <c r="H308" s="101"/>
      <c r="I308" s="92" t="str">
        <f>IFERROR(VLOOKUP(D308,'Công T5'!$C$7:$F$89,4,0),"")</f>
        <v>NV</v>
      </c>
      <c r="J308" s="92">
        <f t="shared" si="8"/>
        <v>0.3340277778</v>
      </c>
      <c r="K308" s="92">
        <f t="shared" si="1"/>
        <v>0.7381944444</v>
      </c>
      <c r="L308" s="92" t="str">
        <f>IFERROR(VLOOKUP(D308,'Công T5'!$C$7:$F$89,2,0),"")</f>
        <v/>
      </c>
      <c r="M308" s="92" t="str">
        <f>IFERROR(VLOOKUP(D308,'Công T5'!$C$7:$F$89,3,0),"")</f>
        <v/>
      </c>
      <c r="N308" s="92">
        <f t="shared" si="9"/>
        <v>0.3333333333</v>
      </c>
      <c r="O308" s="92">
        <f t="shared" si="2"/>
        <v>0.7083333333</v>
      </c>
      <c r="P308" s="94">
        <f t="shared" si="3"/>
        <v>0.5</v>
      </c>
      <c r="Q308" s="94">
        <f t="shared" si="4"/>
        <v>0.5</v>
      </c>
      <c r="R308" s="95">
        <f t="shared" si="5"/>
        <v>1</v>
      </c>
      <c r="S308" s="95">
        <f t="shared" si="6"/>
        <v>1</v>
      </c>
      <c r="T308" s="95">
        <f t="shared" si="7"/>
        <v>0</v>
      </c>
    </row>
    <row r="309">
      <c r="A309" s="96">
        <v>40.0</v>
      </c>
      <c r="B309" s="97">
        <v>44698.0</v>
      </c>
      <c r="C309" s="96">
        <v>10011.0</v>
      </c>
      <c r="D309" s="98" t="s">
        <v>80</v>
      </c>
      <c r="E309" s="98" t="s">
        <v>159</v>
      </c>
      <c r="F309" s="99">
        <v>0.3368055555555556</v>
      </c>
      <c r="G309" s="99">
        <v>0.7138888888888889</v>
      </c>
      <c r="H309" s="101"/>
      <c r="I309" s="92" t="str">
        <f>IFERROR(VLOOKUP(D309,'Công T5'!$C$7:$F$89,4,0),"")</f>
        <v>NV</v>
      </c>
      <c r="J309" s="92">
        <f t="shared" si="8"/>
        <v>0.3368055556</v>
      </c>
      <c r="K309" s="92">
        <f t="shared" si="1"/>
        <v>0.7138888889</v>
      </c>
      <c r="L309" s="92" t="str">
        <f>IFERROR(VLOOKUP(D309,'Công T5'!$C$7:$F$89,2,0),"")</f>
        <v/>
      </c>
      <c r="M309" s="92" t="str">
        <f>IFERROR(VLOOKUP(D309,'Công T5'!$C$7:$F$89,3,0),"")</f>
        <v/>
      </c>
      <c r="N309" s="92">
        <f t="shared" si="9"/>
        <v>0.3333333333</v>
      </c>
      <c r="O309" s="92">
        <f t="shared" si="2"/>
        <v>0.7083333333</v>
      </c>
      <c r="P309" s="94">
        <f t="shared" si="3"/>
        <v>0.5</v>
      </c>
      <c r="Q309" s="94">
        <f t="shared" si="4"/>
        <v>0.5</v>
      </c>
      <c r="R309" s="95">
        <f t="shared" si="5"/>
        <v>1</v>
      </c>
      <c r="S309" s="95">
        <f t="shared" si="6"/>
        <v>1</v>
      </c>
      <c r="T309" s="95">
        <f t="shared" si="7"/>
        <v>0</v>
      </c>
    </row>
    <row r="310">
      <c r="A310" s="96">
        <v>41.0</v>
      </c>
      <c r="B310" s="97">
        <v>44699.0</v>
      </c>
      <c r="C310" s="96">
        <v>10011.0</v>
      </c>
      <c r="D310" s="98" t="s">
        <v>80</v>
      </c>
      <c r="E310" s="98" t="s">
        <v>159</v>
      </c>
      <c r="F310" s="99">
        <v>0.3298611111111111</v>
      </c>
      <c r="G310" s="99">
        <v>0.7222222222222222</v>
      </c>
      <c r="H310" s="101"/>
      <c r="I310" s="92" t="str">
        <f>IFERROR(VLOOKUP(D310,'Công T5'!$C$7:$F$89,4,0),"")</f>
        <v>NV</v>
      </c>
      <c r="J310" s="92">
        <f t="shared" si="8"/>
        <v>0.3298611111</v>
      </c>
      <c r="K310" s="92">
        <f t="shared" si="1"/>
        <v>0.7222222222</v>
      </c>
      <c r="L310" s="92" t="str">
        <f>IFERROR(VLOOKUP(D310,'Công T5'!$C$7:$F$89,2,0),"")</f>
        <v/>
      </c>
      <c r="M310" s="92" t="str">
        <f>IFERROR(VLOOKUP(D310,'Công T5'!$C$7:$F$89,3,0),"")</f>
        <v/>
      </c>
      <c r="N310" s="92">
        <f t="shared" si="9"/>
        <v>0.3333333333</v>
      </c>
      <c r="O310" s="92">
        <f t="shared" si="2"/>
        <v>0.7083333333</v>
      </c>
      <c r="P310" s="94">
        <f t="shared" si="3"/>
        <v>0.5</v>
      </c>
      <c r="Q310" s="94">
        <f t="shared" si="4"/>
        <v>0.5</v>
      </c>
      <c r="R310" s="95">
        <f t="shared" si="5"/>
        <v>1</v>
      </c>
      <c r="S310" s="95">
        <f t="shared" si="6"/>
        <v>0</v>
      </c>
      <c r="T310" s="95">
        <f t="shared" si="7"/>
        <v>0</v>
      </c>
    </row>
    <row r="311">
      <c r="A311" s="96">
        <v>42.0</v>
      </c>
      <c r="B311" s="97">
        <v>44700.0</v>
      </c>
      <c r="C311" s="96">
        <v>10011.0</v>
      </c>
      <c r="D311" s="98" t="s">
        <v>80</v>
      </c>
      <c r="E311" s="98" t="s">
        <v>159</v>
      </c>
      <c r="F311" s="99">
        <v>0.5027777777777778</v>
      </c>
      <c r="G311" s="99">
        <v>0.7270833333333333</v>
      </c>
      <c r="H311" s="101"/>
      <c r="I311" s="92" t="str">
        <f>IFERROR(VLOOKUP(D311,'Công T5'!$C$7:$F$89,4,0),"")</f>
        <v>NV</v>
      </c>
      <c r="J311" s="92">
        <f t="shared" si="8"/>
        <v>0.5027777778</v>
      </c>
      <c r="K311" s="92">
        <f t="shared" si="1"/>
        <v>0.7270833333</v>
      </c>
      <c r="L311" s="92" t="str">
        <f>IFERROR(VLOOKUP(D311,'Công T5'!$C$7:$F$89,2,0),"")</f>
        <v/>
      </c>
      <c r="M311" s="92" t="str">
        <f>IFERROR(VLOOKUP(D311,'Công T5'!$C$7:$F$89,3,0),"")</f>
        <v/>
      </c>
      <c r="N311" s="92">
        <f t="shared" si="9"/>
        <v>0.5416666667</v>
      </c>
      <c r="O311" s="92">
        <f t="shared" si="2"/>
        <v>0.7083333333</v>
      </c>
      <c r="P311" s="94">
        <f t="shared" si="3"/>
        <v>0</v>
      </c>
      <c r="Q311" s="94">
        <f t="shared" si="4"/>
        <v>0.5</v>
      </c>
      <c r="R311" s="95">
        <f t="shared" si="5"/>
        <v>0.5</v>
      </c>
      <c r="S311" s="95">
        <f t="shared" si="6"/>
        <v>1</v>
      </c>
      <c r="T311" s="95">
        <f t="shared" si="7"/>
        <v>0</v>
      </c>
    </row>
    <row r="312">
      <c r="A312" s="96">
        <v>43.0</v>
      </c>
      <c r="B312" s="97">
        <v>44701.0</v>
      </c>
      <c r="C312" s="96">
        <v>10011.0</v>
      </c>
      <c r="D312" s="98" t="s">
        <v>80</v>
      </c>
      <c r="E312" s="98" t="s">
        <v>159</v>
      </c>
      <c r="F312" s="99">
        <v>0.33055555555555555</v>
      </c>
      <c r="G312" s="99">
        <v>0.7180555555555556</v>
      </c>
      <c r="H312" s="101"/>
      <c r="I312" s="92" t="str">
        <f>IFERROR(VLOOKUP(D312,'Công T5'!$C$7:$F$89,4,0),"")</f>
        <v>NV</v>
      </c>
      <c r="J312" s="92">
        <f t="shared" si="8"/>
        <v>0.3305555556</v>
      </c>
      <c r="K312" s="92">
        <f t="shared" si="1"/>
        <v>0.7180555556</v>
      </c>
      <c r="L312" s="92" t="str">
        <f>IFERROR(VLOOKUP(D312,'Công T5'!$C$7:$F$89,2,0),"")</f>
        <v/>
      </c>
      <c r="M312" s="92" t="str">
        <f>IFERROR(VLOOKUP(D312,'Công T5'!$C$7:$F$89,3,0),"")</f>
        <v/>
      </c>
      <c r="N312" s="92">
        <f t="shared" si="9"/>
        <v>0.3333333333</v>
      </c>
      <c r="O312" s="92">
        <f t="shared" si="2"/>
        <v>0.7083333333</v>
      </c>
      <c r="P312" s="94">
        <f t="shared" si="3"/>
        <v>0.5</v>
      </c>
      <c r="Q312" s="94">
        <f t="shared" si="4"/>
        <v>0.5</v>
      </c>
      <c r="R312" s="95">
        <f t="shared" si="5"/>
        <v>1</v>
      </c>
      <c r="S312" s="95">
        <f t="shared" si="6"/>
        <v>0</v>
      </c>
      <c r="T312" s="95">
        <f t="shared" si="7"/>
        <v>0</v>
      </c>
    </row>
    <row r="313">
      <c r="A313" s="96">
        <v>44.0</v>
      </c>
      <c r="B313" s="97">
        <v>44702.0</v>
      </c>
      <c r="C313" s="96">
        <v>10011.0</v>
      </c>
      <c r="D313" s="98" t="s">
        <v>80</v>
      </c>
      <c r="E313" s="98" t="s">
        <v>159</v>
      </c>
      <c r="F313" s="99">
        <v>0.3326388888888889</v>
      </c>
      <c r="G313" s="99">
        <v>0.7326388888888888</v>
      </c>
      <c r="H313" s="101"/>
      <c r="I313" s="92" t="str">
        <f>IFERROR(VLOOKUP(D313,'Công T5'!$C$7:$F$89,4,0),"")</f>
        <v>NV</v>
      </c>
      <c r="J313" s="92">
        <f t="shared" si="8"/>
        <v>0.3326388889</v>
      </c>
      <c r="K313" s="92">
        <f t="shared" si="1"/>
        <v>0.7326388889</v>
      </c>
      <c r="L313" s="92" t="str">
        <f>IFERROR(VLOOKUP(D313,'Công T5'!$C$7:$F$89,2,0),"")</f>
        <v/>
      </c>
      <c r="M313" s="92" t="str">
        <f>IFERROR(VLOOKUP(D313,'Công T5'!$C$7:$F$89,3,0),"")</f>
        <v/>
      </c>
      <c r="N313" s="92">
        <f t="shared" si="9"/>
        <v>0.3333333333</v>
      </c>
      <c r="O313" s="92">
        <f t="shared" si="2"/>
        <v>0.7083333333</v>
      </c>
      <c r="P313" s="94">
        <f t="shared" si="3"/>
        <v>0.5</v>
      </c>
      <c r="Q313" s="94">
        <f t="shared" si="4"/>
        <v>0.5</v>
      </c>
      <c r="R313" s="95">
        <f t="shared" si="5"/>
        <v>1</v>
      </c>
      <c r="S313" s="95">
        <f t="shared" si="6"/>
        <v>0</v>
      </c>
      <c r="T313" s="95">
        <f t="shared" si="7"/>
        <v>0</v>
      </c>
    </row>
    <row r="314">
      <c r="A314" s="96">
        <v>45.0</v>
      </c>
      <c r="B314" s="97">
        <v>44704.0</v>
      </c>
      <c r="C314" s="96">
        <v>10011.0</v>
      </c>
      <c r="D314" s="98" t="s">
        <v>80</v>
      </c>
      <c r="E314" s="98" t="s">
        <v>159</v>
      </c>
      <c r="F314" s="99">
        <v>0.33055555555555555</v>
      </c>
      <c r="G314" s="99">
        <v>0.7319444444444444</v>
      </c>
      <c r="H314" s="101"/>
      <c r="I314" s="92" t="str">
        <f>IFERROR(VLOOKUP(D314,'Công T5'!$C$7:$F$89,4,0),"")</f>
        <v>NV</v>
      </c>
      <c r="J314" s="92">
        <f t="shared" si="8"/>
        <v>0.3305555556</v>
      </c>
      <c r="K314" s="92">
        <f t="shared" si="1"/>
        <v>0.7319444444</v>
      </c>
      <c r="L314" s="92" t="str">
        <f>IFERROR(VLOOKUP(D314,'Công T5'!$C$7:$F$89,2,0),"")</f>
        <v/>
      </c>
      <c r="M314" s="92" t="str">
        <f>IFERROR(VLOOKUP(D314,'Công T5'!$C$7:$F$89,3,0),"")</f>
        <v/>
      </c>
      <c r="N314" s="92">
        <f t="shared" si="9"/>
        <v>0.3333333333</v>
      </c>
      <c r="O314" s="92">
        <f t="shared" si="2"/>
        <v>0.7083333333</v>
      </c>
      <c r="P314" s="94">
        <f t="shared" si="3"/>
        <v>0.5</v>
      </c>
      <c r="Q314" s="94">
        <f t="shared" si="4"/>
        <v>0.5</v>
      </c>
      <c r="R314" s="95">
        <f t="shared" si="5"/>
        <v>1</v>
      </c>
      <c r="S314" s="95">
        <f t="shared" si="6"/>
        <v>0</v>
      </c>
      <c r="T314" s="95">
        <f t="shared" si="7"/>
        <v>0</v>
      </c>
    </row>
    <row r="315">
      <c r="A315" s="96">
        <v>46.0</v>
      </c>
      <c r="B315" s="97">
        <v>44705.0</v>
      </c>
      <c r="C315" s="96">
        <v>10011.0</v>
      </c>
      <c r="D315" s="98" t="s">
        <v>80</v>
      </c>
      <c r="E315" s="98" t="s">
        <v>159</v>
      </c>
      <c r="F315" s="99">
        <v>0.3284722222222222</v>
      </c>
      <c r="G315" s="99">
        <v>0.7243055555555555</v>
      </c>
      <c r="H315" s="101"/>
      <c r="I315" s="92" t="str">
        <f>IFERROR(VLOOKUP(D315,'Công T5'!$C$7:$F$89,4,0),"")</f>
        <v>NV</v>
      </c>
      <c r="J315" s="92">
        <f t="shared" si="8"/>
        <v>0.3284722222</v>
      </c>
      <c r="K315" s="92">
        <f t="shared" si="1"/>
        <v>0.7243055556</v>
      </c>
      <c r="L315" s="92" t="str">
        <f>IFERROR(VLOOKUP(D315,'Công T5'!$C$7:$F$89,2,0),"")</f>
        <v/>
      </c>
      <c r="M315" s="92" t="str">
        <f>IFERROR(VLOOKUP(D315,'Công T5'!$C$7:$F$89,3,0),"")</f>
        <v/>
      </c>
      <c r="N315" s="92">
        <f t="shared" si="9"/>
        <v>0.3333333333</v>
      </c>
      <c r="O315" s="92">
        <f t="shared" si="2"/>
        <v>0.7083333333</v>
      </c>
      <c r="P315" s="94">
        <f t="shared" si="3"/>
        <v>0.5</v>
      </c>
      <c r="Q315" s="94">
        <f t="shared" si="4"/>
        <v>0.5</v>
      </c>
      <c r="R315" s="95">
        <f t="shared" si="5"/>
        <v>1</v>
      </c>
      <c r="S315" s="95">
        <f t="shared" si="6"/>
        <v>0</v>
      </c>
      <c r="T315" s="95">
        <f t="shared" si="7"/>
        <v>0</v>
      </c>
    </row>
    <row r="316">
      <c r="A316" s="96">
        <v>47.0</v>
      </c>
      <c r="B316" s="97">
        <v>44706.0</v>
      </c>
      <c r="C316" s="96">
        <v>10011.0</v>
      </c>
      <c r="D316" s="98" t="s">
        <v>80</v>
      </c>
      <c r="E316" s="98" t="s">
        <v>159</v>
      </c>
      <c r="F316" s="99">
        <v>0.6979166666666666</v>
      </c>
      <c r="G316" s="102"/>
      <c r="H316" s="101"/>
      <c r="I316" s="92" t="str">
        <f>IFERROR(VLOOKUP(D316,'Công T5'!$C$7:$F$89,4,0),"")</f>
        <v>NV</v>
      </c>
      <c r="J316" s="92">
        <f t="shared" si="8"/>
        <v>0.6979166667</v>
      </c>
      <c r="K316" s="92" t="str">
        <f t="shared" si="1"/>
        <v/>
      </c>
      <c r="L316" s="92" t="str">
        <f>IFERROR(VLOOKUP(D316,'Công T5'!$C$7:$F$89,2,0),"")</f>
        <v/>
      </c>
      <c r="M316" s="92" t="str">
        <f>IFERROR(VLOOKUP(D316,'Công T5'!$C$7:$F$89,3,0),"")</f>
        <v/>
      </c>
      <c r="N316" s="92">
        <f t="shared" si="9"/>
        <v>0.6979166667</v>
      </c>
      <c r="O316" s="92" t="str">
        <f t="shared" si="2"/>
        <v/>
      </c>
      <c r="P316" s="94">
        <f t="shared" si="3"/>
        <v>0</v>
      </c>
      <c r="Q316" s="94" t="str">
        <f t="shared" si="4"/>
        <v/>
      </c>
      <c r="R316" s="95">
        <f t="shared" si="5"/>
        <v>0.5</v>
      </c>
      <c r="S316" s="95" t="str">
        <f t="shared" si="6"/>
        <v/>
      </c>
      <c r="T316" s="95">
        <f t="shared" si="7"/>
        <v>1</v>
      </c>
    </row>
    <row r="317">
      <c r="A317" s="96">
        <v>48.0</v>
      </c>
      <c r="B317" s="97">
        <v>44677.0</v>
      </c>
      <c r="C317" s="96">
        <v>10006.0</v>
      </c>
      <c r="D317" s="98" t="s">
        <v>77</v>
      </c>
      <c r="E317" s="98" t="s">
        <v>162</v>
      </c>
      <c r="F317" s="99">
        <v>0.31805555555555554</v>
      </c>
      <c r="G317" s="99">
        <v>0.7361111111111112</v>
      </c>
      <c r="H317" s="101"/>
      <c r="I317" s="92" t="str">
        <f>IFERROR(VLOOKUP(D317,'Công T5'!$C$7:$F$89,4,0),"")</f>
        <v>NV</v>
      </c>
      <c r="J317" s="92">
        <f t="shared" si="8"/>
        <v>0.3180555556</v>
      </c>
      <c r="K317" s="92">
        <f t="shared" si="1"/>
        <v>0.7361111111</v>
      </c>
      <c r="L317" s="92" t="str">
        <f>IFERROR(VLOOKUP(D317,'Công T5'!$C$7:$F$89,2,0),"")</f>
        <v/>
      </c>
      <c r="M317" s="92" t="str">
        <f>IFERROR(VLOOKUP(D317,'Công T5'!$C$7:$F$89,3,0),"")</f>
        <v/>
      </c>
      <c r="N317" s="92">
        <f t="shared" si="9"/>
        <v>0.3333333333</v>
      </c>
      <c r="O317" s="92">
        <f t="shared" si="2"/>
        <v>0.7083333333</v>
      </c>
      <c r="P317" s="94">
        <f t="shared" si="3"/>
        <v>0.5</v>
      </c>
      <c r="Q317" s="94">
        <f t="shared" si="4"/>
        <v>0.5</v>
      </c>
      <c r="R317" s="95">
        <f t="shared" si="5"/>
        <v>1</v>
      </c>
      <c r="S317" s="95">
        <f t="shared" si="6"/>
        <v>0</v>
      </c>
      <c r="T317" s="95">
        <f t="shared" si="7"/>
        <v>0</v>
      </c>
    </row>
    <row r="318">
      <c r="A318" s="96">
        <v>49.0</v>
      </c>
      <c r="B318" s="97">
        <v>44678.0</v>
      </c>
      <c r="C318" s="96">
        <v>10006.0</v>
      </c>
      <c r="D318" s="98" t="s">
        <v>77</v>
      </c>
      <c r="E318" s="98" t="s">
        <v>162</v>
      </c>
      <c r="F318" s="99">
        <v>0.3034722222222222</v>
      </c>
      <c r="G318" s="99">
        <v>0.7486111111111111</v>
      </c>
      <c r="H318" s="101"/>
      <c r="I318" s="92" t="str">
        <f>IFERROR(VLOOKUP(D318,'Công T5'!$C$7:$F$89,4,0),"")</f>
        <v>NV</v>
      </c>
      <c r="J318" s="92">
        <f t="shared" si="8"/>
        <v>0.3034722222</v>
      </c>
      <c r="K318" s="92">
        <f t="shared" si="1"/>
        <v>0.7486111111</v>
      </c>
      <c r="L318" s="92" t="str">
        <f>IFERROR(VLOOKUP(D318,'Công T5'!$C$7:$F$89,2,0),"")</f>
        <v/>
      </c>
      <c r="M318" s="92" t="str">
        <f>IFERROR(VLOOKUP(D318,'Công T5'!$C$7:$F$89,3,0),"")</f>
        <v/>
      </c>
      <c r="N318" s="92">
        <f t="shared" si="9"/>
        <v>0.3333333333</v>
      </c>
      <c r="O318" s="92">
        <f t="shared" si="2"/>
        <v>0.7083333333</v>
      </c>
      <c r="P318" s="94">
        <f t="shared" si="3"/>
        <v>0.5</v>
      </c>
      <c r="Q318" s="94">
        <f t="shared" si="4"/>
        <v>0.5</v>
      </c>
      <c r="R318" s="95">
        <f t="shared" si="5"/>
        <v>1</v>
      </c>
      <c r="S318" s="95">
        <f t="shared" si="6"/>
        <v>0</v>
      </c>
      <c r="T318" s="95">
        <f t="shared" si="7"/>
        <v>0</v>
      </c>
    </row>
    <row r="319">
      <c r="A319" s="96">
        <v>50.0</v>
      </c>
      <c r="B319" s="97">
        <v>44679.0</v>
      </c>
      <c r="C319" s="96">
        <v>10006.0</v>
      </c>
      <c r="D319" s="98" t="s">
        <v>77</v>
      </c>
      <c r="E319" s="98" t="s">
        <v>162</v>
      </c>
      <c r="F319" s="99">
        <v>0.61875</v>
      </c>
      <c r="G319" s="99">
        <v>0.7368055555555556</v>
      </c>
      <c r="H319" s="101"/>
      <c r="I319" s="92" t="str">
        <f>IFERROR(VLOOKUP(D319,'Công T5'!$C$7:$F$89,4,0),"")</f>
        <v>NV</v>
      </c>
      <c r="J319" s="92">
        <f t="shared" si="8"/>
        <v>0.61875</v>
      </c>
      <c r="K319" s="92">
        <f t="shared" si="1"/>
        <v>0.7368055556</v>
      </c>
      <c r="L319" s="92" t="str">
        <f>IFERROR(VLOOKUP(D319,'Công T5'!$C$7:$F$89,2,0),"")</f>
        <v/>
      </c>
      <c r="M319" s="92" t="str">
        <f>IFERROR(VLOOKUP(D319,'Công T5'!$C$7:$F$89,3,0),"")</f>
        <v/>
      </c>
      <c r="N319" s="92">
        <f t="shared" si="9"/>
        <v>0.61875</v>
      </c>
      <c r="O319" s="92">
        <f t="shared" si="2"/>
        <v>0.7083333333</v>
      </c>
      <c r="P319" s="94">
        <f t="shared" si="3"/>
        <v>0</v>
      </c>
      <c r="Q319" s="94">
        <f t="shared" si="4"/>
        <v>0.5</v>
      </c>
      <c r="R319" s="95">
        <f t="shared" si="5"/>
        <v>0.5</v>
      </c>
      <c r="S319" s="95">
        <f t="shared" si="6"/>
        <v>1</v>
      </c>
      <c r="T319" s="95">
        <f t="shared" si="7"/>
        <v>0</v>
      </c>
    </row>
    <row r="320">
      <c r="A320" s="96">
        <v>51.0</v>
      </c>
      <c r="B320" s="97">
        <v>44680.0</v>
      </c>
      <c r="C320" s="96">
        <v>10006.0</v>
      </c>
      <c r="D320" s="98" t="s">
        <v>77</v>
      </c>
      <c r="E320" s="98" t="s">
        <v>162</v>
      </c>
      <c r="F320" s="99">
        <v>0.32013888888888886</v>
      </c>
      <c r="G320" s="99">
        <v>0.7215277777777778</v>
      </c>
      <c r="H320" s="101"/>
      <c r="I320" s="92" t="str">
        <f>IFERROR(VLOOKUP(D320,'Công T5'!$C$7:$F$89,4,0),"")</f>
        <v>NV</v>
      </c>
      <c r="J320" s="92">
        <f t="shared" si="8"/>
        <v>0.3201388889</v>
      </c>
      <c r="K320" s="92">
        <f t="shared" si="1"/>
        <v>0.7215277778</v>
      </c>
      <c r="L320" s="92" t="str">
        <f>IFERROR(VLOOKUP(D320,'Công T5'!$C$7:$F$89,2,0),"")</f>
        <v/>
      </c>
      <c r="M320" s="92" t="str">
        <f>IFERROR(VLOOKUP(D320,'Công T5'!$C$7:$F$89,3,0),"")</f>
        <v/>
      </c>
      <c r="N320" s="92">
        <f t="shared" si="9"/>
        <v>0.3333333333</v>
      </c>
      <c r="O320" s="92">
        <f t="shared" si="2"/>
        <v>0.7083333333</v>
      </c>
      <c r="P320" s="94">
        <f t="shared" si="3"/>
        <v>0.5</v>
      </c>
      <c r="Q320" s="94">
        <f t="shared" si="4"/>
        <v>0.5</v>
      </c>
      <c r="R320" s="95">
        <f t="shared" si="5"/>
        <v>1</v>
      </c>
      <c r="S320" s="95">
        <f t="shared" si="6"/>
        <v>0</v>
      </c>
      <c r="T320" s="95">
        <f t="shared" si="7"/>
        <v>0</v>
      </c>
    </row>
    <row r="321">
      <c r="A321" s="96">
        <v>52.0</v>
      </c>
      <c r="B321" s="97">
        <v>44685.0</v>
      </c>
      <c r="C321" s="96">
        <v>10006.0</v>
      </c>
      <c r="D321" s="98" t="s">
        <v>77</v>
      </c>
      <c r="E321" s="98" t="s">
        <v>162</v>
      </c>
      <c r="F321" s="99">
        <v>0.32708333333333334</v>
      </c>
      <c r="G321" s="99">
        <v>0.7673611111111112</v>
      </c>
      <c r="H321" s="101"/>
      <c r="I321" s="92" t="str">
        <f>IFERROR(VLOOKUP(D321,'Công T5'!$C$7:$F$89,4,0),"")</f>
        <v>NV</v>
      </c>
      <c r="J321" s="92">
        <f t="shared" si="8"/>
        <v>0.3270833333</v>
      </c>
      <c r="K321" s="92">
        <f t="shared" si="1"/>
        <v>0.7673611111</v>
      </c>
      <c r="L321" s="92" t="str">
        <f>IFERROR(VLOOKUP(D321,'Công T5'!$C$7:$F$89,2,0),"")</f>
        <v/>
      </c>
      <c r="M321" s="92" t="str">
        <f>IFERROR(VLOOKUP(D321,'Công T5'!$C$7:$F$89,3,0),"")</f>
        <v/>
      </c>
      <c r="N321" s="92">
        <f t="shared" si="9"/>
        <v>0.3333333333</v>
      </c>
      <c r="O321" s="92">
        <f t="shared" si="2"/>
        <v>0.7083333333</v>
      </c>
      <c r="P321" s="94">
        <f t="shared" si="3"/>
        <v>0.5</v>
      </c>
      <c r="Q321" s="94">
        <f t="shared" si="4"/>
        <v>0.5</v>
      </c>
      <c r="R321" s="95">
        <f t="shared" si="5"/>
        <v>1</v>
      </c>
      <c r="S321" s="95">
        <f t="shared" si="6"/>
        <v>0</v>
      </c>
      <c r="T321" s="95">
        <f t="shared" si="7"/>
        <v>0</v>
      </c>
    </row>
    <row r="322">
      <c r="A322" s="96">
        <v>53.0</v>
      </c>
      <c r="B322" s="97">
        <v>44686.0</v>
      </c>
      <c r="C322" s="96">
        <v>10006.0</v>
      </c>
      <c r="D322" s="98" t="s">
        <v>77</v>
      </c>
      <c r="E322" s="98" t="s">
        <v>162</v>
      </c>
      <c r="F322" s="99">
        <v>0.3173611111111111</v>
      </c>
      <c r="G322" s="99">
        <v>0.7319444444444444</v>
      </c>
      <c r="H322" s="101"/>
      <c r="I322" s="92" t="str">
        <f>IFERROR(VLOOKUP(D322,'Công T5'!$C$7:$F$89,4,0),"")</f>
        <v>NV</v>
      </c>
      <c r="J322" s="92">
        <f t="shared" si="8"/>
        <v>0.3173611111</v>
      </c>
      <c r="K322" s="92">
        <f t="shared" si="1"/>
        <v>0.7319444444</v>
      </c>
      <c r="L322" s="92" t="str">
        <f>IFERROR(VLOOKUP(D322,'Công T5'!$C$7:$F$89,2,0),"")</f>
        <v/>
      </c>
      <c r="M322" s="92" t="str">
        <f>IFERROR(VLOOKUP(D322,'Công T5'!$C$7:$F$89,3,0),"")</f>
        <v/>
      </c>
      <c r="N322" s="92">
        <f t="shared" si="9"/>
        <v>0.3333333333</v>
      </c>
      <c r="O322" s="92">
        <f t="shared" si="2"/>
        <v>0.7083333333</v>
      </c>
      <c r="P322" s="94">
        <f t="shared" si="3"/>
        <v>0.5</v>
      </c>
      <c r="Q322" s="94">
        <f t="shared" si="4"/>
        <v>0.5</v>
      </c>
      <c r="R322" s="95">
        <f t="shared" si="5"/>
        <v>1</v>
      </c>
      <c r="S322" s="95">
        <f t="shared" si="6"/>
        <v>0</v>
      </c>
      <c r="T322" s="95">
        <f t="shared" si="7"/>
        <v>0</v>
      </c>
    </row>
    <row r="323">
      <c r="A323" s="96">
        <v>54.0</v>
      </c>
      <c r="B323" s="97">
        <v>44687.0</v>
      </c>
      <c r="C323" s="96">
        <v>10006.0</v>
      </c>
      <c r="D323" s="98" t="s">
        <v>77</v>
      </c>
      <c r="E323" s="98" t="s">
        <v>162</v>
      </c>
      <c r="F323" s="99">
        <v>0.32013888888888886</v>
      </c>
      <c r="G323" s="99">
        <v>0.7263888888888889</v>
      </c>
      <c r="H323" s="101"/>
      <c r="I323" s="92" t="str">
        <f>IFERROR(VLOOKUP(D323,'Công T5'!$C$7:$F$89,4,0),"")</f>
        <v>NV</v>
      </c>
      <c r="J323" s="92">
        <f t="shared" si="8"/>
        <v>0.3201388889</v>
      </c>
      <c r="K323" s="92">
        <f t="shared" si="1"/>
        <v>0.7263888889</v>
      </c>
      <c r="L323" s="92" t="str">
        <f>IFERROR(VLOOKUP(D323,'Công T5'!$C$7:$F$89,2,0),"")</f>
        <v/>
      </c>
      <c r="M323" s="92" t="str">
        <f>IFERROR(VLOOKUP(D323,'Công T5'!$C$7:$F$89,3,0),"")</f>
        <v/>
      </c>
      <c r="N323" s="92">
        <f t="shared" si="9"/>
        <v>0.3333333333</v>
      </c>
      <c r="O323" s="92">
        <f t="shared" si="2"/>
        <v>0.7083333333</v>
      </c>
      <c r="P323" s="94">
        <f t="shared" si="3"/>
        <v>0.5</v>
      </c>
      <c r="Q323" s="94">
        <f t="shared" si="4"/>
        <v>0.5</v>
      </c>
      <c r="R323" s="95">
        <f t="shared" si="5"/>
        <v>1</v>
      </c>
      <c r="S323" s="95">
        <f t="shared" si="6"/>
        <v>0</v>
      </c>
      <c r="T323" s="95">
        <f t="shared" si="7"/>
        <v>0</v>
      </c>
    </row>
    <row r="324">
      <c r="A324" s="96">
        <v>55.0</v>
      </c>
      <c r="B324" s="97">
        <v>44688.0</v>
      </c>
      <c r="C324" s="96">
        <v>10006.0</v>
      </c>
      <c r="D324" s="98" t="s">
        <v>77</v>
      </c>
      <c r="E324" s="98" t="s">
        <v>162</v>
      </c>
      <c r="F324" s="99">
        <v>0.3284722222222222</v>
      </c>
      <c r="G324" s="99">
        <v>0.7263888888888889</v>
      </c>
      <c r="H324" s="101"/>
      <c r="I324" s="92" t="str">
        <f>IFERROR(VLOOKUP(D324,'Công T5'!$C$7:$F$89,4,0),"")</f>
        <v>NV</v>
      </c>
      <c r="J324" s="92">
        <f t="shared" si="8"/>
        <v>0.3284722222</v>
      </c>
      <c r="K324" s="92">
        <f t="shared" si="1"/>
        <v>0.7263888889</v>
      </c>
      <c r="L324" s="92" t="str">
        <f>IFERROR(VLOOKUP(D324,'Công T5'!$C$7:$F$89,2,0),"")</f>
        <v/>
      </c>
      <c r="M324" s="92" t="str">
        <f>IFERROR(VLOOKUP(D324,'Công T5'!$C$7:$F$89,3,0),"")</f>
        <v/>
      </c>
      <c r="N324" s="92">
        <f t="shared" si="9"/>
        <v>0.3333333333</v>
      </c>
      <c r="O324" s="92">
        <f t="shared" si="2"/>
        <v>0.7083333333</v>
      </c>
      <c r="P324" s="94">
        <f t="shared" si="3"/>
        <v>0.5</v>
      </c>
      <c r="Q324" s="94">
        <f t="shared" si="4"/>
        <v>0.5</v>
      </c>
      <c r="R324" s="95">
        <f t="shared" si="5"/>
        <v>1</v>
      </c>
      <c r="S324" s="95">
        <f t="shared" si="6"/>
        <v>0</v>
      </c>
      <c r="T324" s="95">
        <f t="shared" si="7"/>
        <v>0</v>
      </c>
    </row>
    <row r="325">
      <c r="A325" s="96">
        <v>56.0</v>
      </c>
      <c r="B325" s="97">
        <v>44690.0</v>
      </c>
      <c r="C325" s="96">
        <v>10006.0</v>
      </c>
      <c r="D325" s="98" t="s">
        <v>77</v>
      </c>
      <c r="E325" s="98" t="s">
        <v>162</v>
      </c>
      <c r="F325" s="99">
        <v>0.32013888888888886</v>
      </c>
      <c r="G325" s="99">
        <v>0.6576388888888889</v>
      </c>
      <c r="H325" s="101"/>
      <c r="I325" s="92" t="str">
        <f>IFERROR(VLOOKUP(D325,'Công T5'!$C$7:$F$89,4,0),"")</f>
        <v>NV</v>
      </c>
      <c r="J325" s="92">
        <f t="shared" si="8"/>
        <v>0.3201388889</v>
      </c>
      <c r="K325" s="92">
        <f t="shared" si="1"/>
        <v>0.6576388889</v>
      </c>
      <c r="L325" s="92" t="str">
        <f>IFERROR(VLOOKUP(D325,'Công T5'!$C$7:$F$89,2,0),"")</f>
        <v/>
      </c>
      <c r="M325" s="92" t="str">
        <f>IFERROR(VLOOKUP(D325,'Công T5'!$C$7:$F$89,3,0),"")</f>
        <v/>
      </c>
      <c r="N325" s="92">
        <f t="shared" si="9"/>
        <v>0.3333333333</v>
      </c>
      <c r="O325" s="92">
        <f t="shared" si="2"/>
        <v>0.6576388889</v>
      </c>
      <c r="P325" s="94">
        <f t="shared" si="3"/>
        <v>0.5</v>
      </c>
      <c r="Q325" s="94">
        <f t="shared" si="4"/>
        <v>0.3479166667</v>
      </c>
      <c r="R325" s="95">
        <f t="shared" si="5"/>
        <v>0.8479166667</v>
      </c>
      <c r="S325" s="95">
        <f t="shared" si="6"/>
        <v>0</v>
      </c>
      <c r="T325" s="95">
        <f t="shared" si="7"/>
        <v>0</v>
      </c>
    </row>
    <row r="326">
      <c r="A326" s="96">
        <v>57.0</v>
      </c>
      <c r="B326" s="97">
        <v>44691.0</v>
      </c>
      <c r="C326" s="96">
        <v>10006.0</v>
      </c>
      <c r="D326" s="98" t="s">
        <v>77</v>
      </c>
      <c r="E326" s="98" t="s">
        <v>162</v>
      </c>
      <c r="F326" s="99">
        <v>0.3138888888888889</v>
      </c>
      <c r="G326" s="99">
        <v>0.7361111111111112</v>
      </c>
      <c r="H326" s="101"/>
      <c r="I326" s="92" t="str">
        <f>IFERROR(VLOOKUP(D326,'Công T5'!$C$7:$F$89,4,0),"")</f>
        <v>NV</v>
      </c>
      <c r="J326" s="92">
        <f t="shared" si="8"/>
        <v>0.3138888889</v>
      </c>
      <c r="K326" s="92">
        <f t="shared" si="1"/>
        <v>0.7361111111</v>
      </c>
      <c r="L326" s="92" t="str">
        <f>IFERROR(VLOOKUP(D326,'Công T5'!$C$7:$F$89,2,0),"")</f>
        <v/>
      </c>
      <c r="M326" s="92" t="str">
        <f>IFERROR(VLOOKUP(D326,'Công T5'!$C$7:$F$89,3,0),"")</f>
        <v/>
      </c>
      <c r="N326" s="92">
        <f t="shared" si="9"/>
        <v>0.3333333333</v>
      </c>
      <c r="O326" s="92">
        <f t="shared" si="2"/>
        <v>0.7083333333</v>
      </c>
      <c r="P326" s="94">
        <f t="shared" si="3"/>
        <v>0.5</v>
      </c>
      <c r="Q326" s="94">
        <f t="shared" si="4"/>
        <v>0.5</v>
      </c>
      <c r="R326" s="95">
        <f t="shared" si="5"/>
        <v>1</v>
      </c>
      <c r="S326" s="95">
        <f t="shared" si="6"/>
        <v>0</v>
      </c>
      <c r="T326" s="95">
        <f t="shared" si="7"/>
        <v>0</v>
      </c>
    </row>
    <row r="327">
      <c r="A327" s="96">
        <v>58.0</v>
      </c>
      <c r="B327" s="103">
        <v>44692.0</v>
      </c>
      <c r="C327" s="96">
        <v>10006.0</v>
      </c>
      <c r="D327" s="98" t="s">
        <v>77</v>
      </c>
      <c r="E327" s="98" t="s">
        <v>162</v>
      </c>
      <c r="F327" s="99">
        <v>0.31805555555555554</v>
      </c>
      <c r="G327" s="99">
        <v>0.7541666666666667</v>
      </c>
      <c r="H327" s="101"/>
      <c r="I327" s="92" t="str">
        <f>IFERROR(VLOOKUP(D327,'Công T5'!$C$7:$F$89,4,0),"")</f>
        <v>NV</v>
      </c>
      <c r="J327" s="92">
        <f t="shared" si="8"/>
        <v>0.3180555556</v>
      </c>
      <c r="K327" s="92">
        <f t="shared" si="1"/>
        <v>0.7541666667</v>
      </c>
      <c r="L327" s="92" t="str">
        <f>IFERROR(VLOOKUP(D327,'Công T5'!$C$7:$F$89,2,0),"")</f>
        <v/>
      </c>
      <c r="M327" s="92" t="str">
        <f>IFERROR(VLOOKUP(D327,'Công T5'!$C$7:$F$89,3,0),"")</f>
        <v/>
      </c>
      <c r="N327" s="92">
        <f t="shared" si="9"/>
        <v>0.3333333333</v>
      </c>
      <c r="O327" s="92">
        <f t="shared" si="2"/>
        <v>0.7083333333</v>
      </c>
      <c r="P327" s="94">
        <f t="shared" si="3"/>
        <v>0.5</v>
      </c>
      <c r="Q327" s="94">
        <f t="shared" si="4"/>
        <v>0.5</v>
      </c>
      <c r="R327" s="95">
        <f t="shared" si="5"/>
        <v>1</v>
      </c>
      <c r="S327" s="95">
        <f t="shared" si="6"/>
        <v>0</v>
      </c>
      <c r="T327" s="95">
        <f t="shared" si="7"/>
        <v>0</v>
      </c>
    </row>
    <row r="328">
      <c r="A328" s="96">
        <v>59.0</v>
      </c>
      <c r="B328" s="97">
        <v>44693.0</v>
      </c>
      <c r="C328" s="96">
        <v>10006.0</v>
      </c>
      <c r="D328" s="98" t="s">
        <v>77</v>
      </c>
      <c r="E328" s="98" t="s">
        <v>162</v>
      </c>
      <c r="F328" s="99">
        <v>0.31805555555555554</v>
      </c>
      <c r="G328" s="99">
        <v>0.7354166666666667</v>
      </c>
      <c r="H328" s="101"/>
      <c r="I328" s="92" t="str">
        <f>IFERROR(VLOOKUP(D328,'Công T5'!$C$7:$F$89,4,0),"")</f>
        <v>NV</v>
      </c>
      <c r="J328" s="92">
        <f t="shared" si="8"/>
        <v>0.3180555556</v>
      </c>
      <c r="K328" s="92">
        <f t="shared" si="1"/>
        <v>0.7354166667</v>
      </c>
      <c r="L328" s="92" t="str">
        <f>IFERROR(VLOOKUP(D328,'Công T5'!$C$7:$F$89,2,0),"")</f>
        <v/>
      </c>
      <c r="M328" s="92" t="str">
        <f>IFERROR(VLOOKUP(D328,'Công T5'!$C$7:$F$89,3,0),"")</f>
        <v/>
      </c>
      <c r="N328" s="92">
        <f t="shared" si="9"/>
        <v>0.3333333333</v>
      </c>
      <c r="O328" s="92">
        <f t="shared" si="2"/>
        <v>0.7083333333</v>
      </c>
      <c r="P328" s="94">
        <f t="shared" si="3"/>
        <v>0.5</v>
      </c>
      <c r="Q328" s="94">
        <f t="shared" si="4"/>
        <v>0.5</v>
      </c>
      <c r="R328" s="95">
        <f t="shared" si="5"/>
        <v>1</v>
      </c>
      <c r="S328" s="95">
        <f t="shared" si="6"/>
        <v>0</v>
      </c>
      <c r="T328" s="95">
        <f t="shared" si="7"/>
        <v>0</v>
      </c>
    </row>
    <row r="329">
      <c r="A329" s="96">
        <v>60.0</v>
      </c>
      <c r="B329" s="97">
        <v>44694.0</v>
      </c>
      <c r="C329" s="96">
        <v>10006.0</v>
      </c>
      <c r="D329" s="98" t="s">
        <v>77</v>
      </c>
      <c r="E329" s="98" t="s">
        <v>162</v>
      </c>
      <c r="F329" s="99">
        <v>0.32708333333333334</v>
      </c>
      <c r="G329" s="99">
        <v>0.7347222222222223</v>
      </c>
      <c r="H329" s="101"/>
      <c r="I329" s="92" t="str">
        <f>IFERROR(VLOOKUP(D329,'Công T5'!$C$7:$F$89,4,0),"")</f>
        <v>NV</v>
      </c>
      <c r="J329" s="92">
        <f t="shared" si="8"/>
        <v>0.3270833333</v>
      </c>
      <c r="K329" s="92">
        <f t="shared" si="1"/>
        <v>0.7347222222</v>
      </c>
      <c r="L329" s="92" t="str">
        <f>IFERROR(VLOOKUP(D329,'Công T5'!$C$7:$F$89,2,0),"")</f>
        <v/>
      </c>
      <c r="M329" s="92" t="str">
        <f>IFERROR(VLOOKUP(D329,'Công T5'!$C$7:$F$89,3,0),"")</f>
        <v/>
      </c>
      <c r="N329" s="92">
        <f t="shared" si="9"/>
        <v>0.3333333333</v>
      </c>
      <c r="O329" s="92">
        <f t="shared" si="2"/>
        <v>0.7083333333</v>
      </c>
      <c r="P329" s="94">
        <f t="shared" si="3"/>
        <v>0.5</v>
      </c>
      <c r="Q329" s="94">
        <f t="shared" si="4"/>
        <v>0.5</v>
      </c>
      <c r="R329" s="95">
        <f t="shared" si="5"/>
        <v>1</v>
      </c>
      <c r="S329" s="95">
        <f t="shared" si="6"/>
        <v>0</v>
      </c>
      <c r="T329" s="95">
        <f t="shared" si="7"/>
        <v>0</v>
      </c>
    </row>
    <row r="330">
      <c r="A330" s="96">
        <v>61.0</v>
      </c>
      <c r="B330" s="97">
        <v>44697.0</v>
      </c>
      <c r="C330" s="96">
        <v>10006.0</v>
      </c>
      <c r="D330" s="98" t="s">
        <v>77</v>
      </c>
      <c r="E330" s="98" t="s">
        <v>162</v>
      </c>
      <c r="F330" s="99">
        <v>0.32708333333333334</v>
      </c>
      <c r="G330" s="99">
        <v>0.7381944444444445</v>
      </c>
      <c r="H330" s="101"/>
      <c r="I330" s="92" t="str">
        <f>IFERROR(VLOOKUP(D330,'Công T5'!$C$7:$F$89,4,0),"")</f>
        <v>NV</v>
      </c>
      <c r="J330" s="92">
        <f t="shared" si="8"/>
        <v>0.3270833333</v>
      </c>
      <c r="K330" s="92">
        <f t="shared" si="1"/>
        <v>0.7381944444</v>
      </c>
      <c r="L330" s="92" t="str">
        <f>IFERROR(VLOOKUP(D330,'Công T5'!$C$7:$F$89,2,0),"")</f>
        <v/>
      </c>
      <c r="M330" s="92" t="str">
        <f>IFERROR(VLOOKUP(D330,'Công T5'!$C$7:$F$89,3,0),"")</f>
        <v/>
      </c>
      <c r="N330" s="92">
        <f t="shared" si="9"/>
        <v>0.3333333333</v>
      </c>
      <c r="O330" s="92">
        <f t="shared" si="2"/>
        <v>0.7083333333</v>
      </c>
      <c r="P330" s="94">
        <f t="shared" si="3"/>
        <v>0.5</v>
      </c>
      <c r="Q330" s="94">
        <f t="shared" si="4"/>
        <v>0.5</v>
      </c>
      <c r="R330" s="95">
        <f t="shared" si="5"/>
        <v>1</v>
      </c>
      <c r="S330" s="95">
        <f t="shared" si="6"/>
        <v>0</v>
      </c>
      <c r="T330" s="95">
        <f t="shared" si="7"/>
        <v>0</v>
      </c>
    </row>
    <row r="331">
      <c r="A331" s="96">
        <v>62.0</v>
      </c>
      <c r="B331" s="97">
        <v>44698.0</v>
      </c>
      <c r="C331" s="96">
        <v>10006.0</v>
      </c>
      <c r="D331" s="98" t="s">
        <v>77</v>
      </c>
      <c r="E331" s="98" t="s">
        <v>162</v>
      </c>
      <c r="F331" s="99">
        <v>0.3236111111111111</v>
      </c>
      <c r="G331" s="99">
        <v>0.7270833333333333</v>
      </c>
      <c r="H331" s="101"/>
      <c r="I331" s="92" t="str">
        <f>IFERROR(VLOOKUP(D331,'Công T5'!$C$7:$F$89,4,0),"")</f>
        <v>NV</v>
      </c>
      <c r="J331" s="92">
        <f t="shared" si="8"/>
        <v>0.3236111111</v>
      </c>
      <c r="K331" s="92">
        <f t="shared" si="1"/>
        <v>0.7270833333</v>
      </c>
      <c r="L331" s="92" t="str">
        <f>IFERROR(VLOOKUP(D331,'Công T5'!$C$7:$F$89,2,0),"")</f>
        <v/>
      </c>
      <c r="M331" s="92" t="str">
        <f>IFERROR(VLOOKUP(D331,'Công T5'!$C$7:$F$89,3,0),"")</f>
        <v/>
      </c>
      <c r="N331" s="92">
        <f t="shared" si="9"/>
        <v>0.3333333333</v>
      </c>
      <c r="O331" s="92">
        <f t="shared" si="2"/>
        <v>0.7083333333</v>
      </c>
      <c r="P331" s="94">
        <f t="shared" si="3"/>
        <v>0.5</v>
      </c>
      <c r="Q331" s="94">
        <f t="shared" si="4"/>
        <v>0.5</v>
      </c>
      <c r="R331" s="95">
        <f t="shared" si="5"/>
        <v>1</v>
      </c>
      <c r="S331" s="95">
        <f t="shared" si="6"/>
        <v>0</v>
      </c>
      <c r="T331" s="95">
        <f t="shared" si="7"/>
        <v>0</v>
      </c>
    </row>
    <row r="332">
      <c r="A332" s="96">
        <v>63.0</v>
      </c>
      <c r="B332" s="97">
        <v>44699.0</v>
      </c>
      <c r="C332" s="96">
        <v>10006.0</v>
      </c>
      <c r="D332" s="98" t="s">
        <v>77</v>
      </c>
      <c r="E332" s="98" t="s">
        <v>162</v>
      </c>
      <c r="F332" s="99">
        <v>0.3298611111111111</v>
      </c>
      <c r="G332" s="99">
        <v>0.7263888888888889</v>
      </c>
      <c r="H332" s="101"/>
      <c r="I332" s="92" t="str">
        <f>IFERROR(VLOOKUP(D332,'Công T5'!$C$7:$F$89,4,0),"")</f>
        <v>NV</v>
      </c>
      <c r="J332" s="92">
        <f t="shared" si="8"/>
        <v>0.3298611111</v>
      </c>
      <c r="K332" s="92">
        <f t="shared" si="1"/>
        <v>0.7263888889</v>
      </c>
      <c r="L332" s="92" t="str">
        <f>IFERROR(VLOOKUP(D332,'Công T5'!$C$7:$F$89,2,0),"")</f>
        <v/>
      </c>
      <c r="M332" s="92" t="str">
        <f>IFERROR(VLOOKUP(D332,'Công T5'!$C$7:$F$89,3,0),"")</f>
        <v/>
      </c>
      <c r="N332" s="92">
        <f t="shared" si="9"/>
        <v>0.3333333333</v>
      </c>
      <c r="O332" s="92">
        <f t="shared" si="2"/>
        <v>0.7083333333</v>
      </c>
      <c r="P332" s="94">
        <f t="shared" si="3"/>
        <v>0.5</v>
      </c>
      <c r="Q332" s="94">
        <f t="shared" si="4"/>
        <v>0.5</v>
      </c>
      <c r="R332" s="95">
        <f t="shared" si="5"/>
        <v>1</v>
      </c>
      <c r="S332" s="95">
        <f t="shared" si="6"/>
        <v>0</v>
      </c>
      <c r="T332" s="95">
        <f t="shared" si="7"/>
        <v>0</v>
      </c>
    </row>
    <row r="333">
      <c r="A333" s="96">
        <v>64.0</v>
      </c>
      <c r="B333" s="97">
        <v>44700.0</v>
      </c>
      <c r="C333" s="96">
        <v>10006.0</v>
      </c>
      <c r="D333" s="98" t="s">
        <v>77</v>
      </c>
      <c r="E333" s="98" t="s">
        <v>162</v>
      </c>
      <c r="F333" s="99">
        <v>0.30069444444444443</v>
      </c>
      <c r="G333" s="99">
        <v>0.7277777777777777</v>
      </c>
      <c r="H333" s="101"/>
      <c r="I333" s="92" t="str">
        <f>IFERROR(VLOOKUP(D333,'Công T5'!$C$7:$F$89,4,0),"")</f>
        <v>NV</v>
      </c>
      <c r="J333" s="92">
        <f t="shared" si="8"/>
        <v>0.3006944444</v>
      </c>
      <c r="K333" s="92">
        <f t="shared" si="1"/>
        <v>0.7277777778</v>
      </c>
      <c r="L333" s="92" t="str">
        <f>IFERROR(VLOOKUP(D333,'Công T5'!$C$7:$F$89,2,0),"")</f>
        <v/>
      </c>
      <c r="M333" s="92" t="str">
        <f>IFERROR(VLOOKUP(D333,'Công T5'!$C$7:$F$89,3,0),"")</f>
        <v/>
      </c>
      <c r="N333" s="92">
        <f t="shared" si="9"/>
        <v>0.3333333333</v>
      </c>
      <c r="O333" s="92">
        <f t="shared" si="2"/>
        <v>0.7083333333</v>
      </c>
      <c r="P333" s="94">
        <f t="shared" si="3"/>
        <v>0.5</v>
      </c>
      <c r="Q333" s="94">
        <f t="shared" si="4"/>
        <v>0.5</v>
      </c>
      <c r="R333" s="95">
        <f t="shared" si="5"/>
        <v>1</v>
      </c>
      <c r="S333" s="95">
        <f t="shared" si="6"/>
        <v>0</v>
      </c>
      <c r="T333" s="95">
        <f t="shared" si="7"/>
        <v>0</v>
      </c>
    </row>
    <row r="334">
      <c r="A334" s="96">
        <v>65.0</v>
      </c>
      <c r="B334" s="97">
        <v>44701.0</v>
      </c>
      <c r="C334" s="96">
        <v>10006.0</v>
      </c>
      <c r="D334" s="98" t="s">
        <v>77</v>
      </c>
      <c r="E334" s="98" t="s">
        <v>162</v>
      </c>
      <c r="F334" s="99">
        <v>0.32430555555555557</v>
      </c>
      <c r="G334" s="99">
        <v>0.6965277777777777</v>
      </c>
      <c r="H334" s="101"/>
      <c r="I334" s="92" t="str">
        <f>IFERROR(VLOOKUP(D334,'Công T5'!$C$7:$F$89,4,0),"")</f>
        <v>NV</v>
      </c>
      <c r="J334" s="92">
        <f t="shared" si="8"/>
        <v>0.3243055556</v>
      </c>
      <c r="K334" s="92">
        <f t="shared" si="1"/>
        <v>0.6965277778</v>
      </c>
      <c r="L334" s="92" t="str">
        <f>IFERROR(VLOOKUP(D334,'Công T5'!$C$7:$F$89,2,0),"")</f>
        <v/>
      </c>
      <c r="M334" s="92" t="str">
        <f>IFERROR(VLOOKUP(D334,'Công T5'!$C$7:$F$89,3,0),"")</f>
        <v/>
      </c>
      <c r="N334" s="92">
        <f t="shared" si="9"/>
        <v>0.3333333333</v>
      </c>
      <c r="O334" s="92">
        <f t="shared" si="2"/>
        <v>0.6965277778</v>
      </c>
      <c r="P334" s="94">
        <f t="shared" si="3"/>
        <v>0.5</v>
      </c>
      <c r="Q334" s="94">
        <f t="shared" si="4"/>
        <v>0.4645833333</v>
      </c>
      <c r="R334" s="95">
        <f t="shared" si="5"/>
        <v>0.9645833333</v>
      </c>
      <c r="S334" s="95">
        <f t="shared" si="6"/>
        <v>0</v>
      </c>
      <c r="T334" s="95">
        <f t="shared" si="7"/>
        <v>0</v>
      </c>
    </row>
    <row r="335">
      <c r="A335" s="96">
        <v>66.0</v>
      </c>
      <c r="B335" s="97">
        <v>44702.0</v>
      </c>
      <c r="C335" s="96">
        <v>10006.0</v>
      </c>
      <c r="D335" s="98" t="s">
        <v>77</v>
      </c>
      <c r="E335" s="98" t="s">
        <v>162</v>
      </c>
      <c r="F335" s="99">
        <v>0.33125</v>
      </c>
      <c r="G335" s="99">
        <v>0.7472222222222222</v>
      </c>
      <c r="H335" s="101"/>
      <c r="I335" s="92" t="str">
        <f>IFERROR(VLOOKUP(D335,'Công T5'!$C$7:$F$89,4,0),"")</f>
        <v>NV</v>
      </c>
      <c r="J335" s="92">
        <f t="shared" si="8"/>
        <v>0.33125</v>
      </c>
      <c r="K335" s="92">
        <f t="shared" si="1"/>
        <v>0.7472222222</v>
      </c>
      <c r="L335" s="92" t="str">
        <f>IFERROR(VLOOKUP(D335,'Công T5'!$C$7:$F$89,2,0),"")</f>
        <v/>
      </c>
      <c r="M335" s="92" t="str">
        <f>IFERROR(VLOOKUP(D335,'Công T5'!$C$7:$F$89,3,0),"")</f>
        <v/>
      </c>
      <c r="N335" s="92">
        <f t="shared" si="9"/>
        <v>0.3333333333</v>
      </c>
      <c r="O335" s="92">
        <f t="shared" si="2"/>
        <v>0.7083333333</v>
      </c>
      <c r="P335" s="94">
        <f t="shared" si="3"/>
        <v>0.5</v>
      </c>
      <c r="Q335" s="94">
        <f t="shared" si="4"/>
        <v>0.5</v>
      </c>
      <c r="R335" s="95">
        <f t="shared" si="5"/>
        <v>1</v>
      </c>
      <c r="S335" s="95">
        <f t="shared" si="6"/>
        <v>0</v>
      </c>
      <c r="T335" s="95">
        <f t="shared" si="7"/>
        <v>0</v>
      </c>
    </row>
    <row r="336">
      <c r="A336" s="96">
        <v>67.0</v>
      </c>
      <c r="B336" s="97">
        <v>44704.0</v>
      </c>
      <c r="C336" s="96">
        <v>10006.0</v>
      </c>
      <c r="D336" s="98" t="s">
        <v>77</v>
      </c>
      <c r="E336" s="98" t="s">
        <v>162</v>
      </c>
      <c r="F336" s="99">
        <v>0.31805555555555554</v>
      </c>
      <c r="G336" s="99">
        <v>0.7381944444444445</v>
      </c>
      <c r="H336" s="101"/>
      <c r="I336" s="92" t="str">
        <f>IFERROR(VLOOKUP(D336,'Công T5'!$C$7:$F$89,4,0),"")</f>
        <v>NV</v>
      </c>
      <c r="J336" s="92">
        <f t="shared" si="8"/>
        <v>0.3180555556</v>
      </c>
      <c r="K336" s="92">
        <f t="shared" si="1"/>
        <v>0.7381944444</v>
      </c>
      <c r="L336" s="92" t="str">
        <f>IFERROR(VLOOKUP(D336,'Công T5'!$C$7:$F$89,2,0),"")</f>
        <v/>
      </c>
      <c r="M336" s="92" t="str">
        <f>IFERROR(VLOOKUP(D336,'Công T5'!$C$7:$F$89,3,0),"")</f>
        <v/>
      </c>
      <c r="N336" s="92">
        <f t="shared" si="9"/>
        <v>0.3333333333</v>
      </c>
      <c r="O336" s="92">
        <f t="shared" si="2"/>
        <v>0.7083333333</v>
      </c>
      <c r="P336" s="94">
        <f t="shared" si="3"/>
        <v>0.5</v>
      </c>
      <c r="Q336" s="94">
        <f t="shared" si="4"/>
        <v>0.5</v>
      </c>
      <c r="R336" s="95">
        <f t="shared" si="5"/>
        <v>1</v>
      </c>
      <c r="S336" s="95">
        <f t="shared" si="6"/>
        <v>0</v>
      </c>
      <c r="T336" s="95">
        <f t="shared" si="7"/>
        <v>0</v>
      </c>
    </row>
    <row r="337">
      <c r="A337" s="96">
        <v>68.0</v>
      </c>
      <c r="B337" s="97">
        <v>44705.0</v>
      </c>
      <c r="C337" s="96">
        <v>10006.0</v>
      </c>
      <c r="D337" s="98" t="s">
        <v>77</v>
      </c>
      <c r="E337" s="98" t="s">
        <v>162</v>
      </c>
      <c r="F337" s="99">
        <v>0.3326388888888889</v>
      </c>
      <c r="G337" s="99">
        <v>0.7256944444444444</v>
      </c>
      <c r="H337" s="101"/>
      <c r="I337" s="92" t="str">
        <f>IFERROR(VLOOKUP(D337,'Công T5'!$C$7:$F$89,4,0),"")</f>
        <v>NV</v>
      </c>
      <c r="J337" s="92">
        <f t="shared" si="8"/>
        <v>0.3326388889</v>
      </c>
      <c r="K337" s="92">
        <f t="shared" si="1"/>
        <v>0.7256944444</v>
      </c>
      <c r="L337" s="92" t="str">
        <f>IFERROR(VLOOKUP(D337,'Công T5'!$C$7:$F$89,2,0),"")</f>
        <v/>
      </c>
      <c r="M337" s="92" t="str">
        <f>IFERROR(VLOOKUP(D337,'Công T5'!$C$7:$F$89,3,0),"")</f>
        <v/>
      </c>
      <c r="N337" s="92">
        <f t="shared" si="9"/>
        <v>0.3333333333</v>
      </c>
      <c r="O337" s="92">
        <f t="shared" si="2"/>
        <v>0.7083333333</v>
      </c>
      <c r="P337" s="94">
        <f t="shared" si="3"/>
        <v>0.5</v>
      </c>
      <c r="Q337" s="94">
        <f t="shared" si="4"/>
        <v>0.5</v>
      </c>
      <c r="R337" s="95">
        <f t="shared" si="5"/>
        <v>1</v>
      </c>
      <c r="S337" s="95">
        <f t="shared" si="6"/>
        <v>0</v>
      </c>
      <c r="T337" s="95">
        <f t="shared" si="7"/>
        <v>0</v>
      </c>
    </row>
    <row r="338">
      <c r="A338" s="96">
        <v>69.0</v>
      </c>
      <c r="B338" s="97">
        <v>44706.0</v>
      </c>
      <c r="C338" s="96">
        <v>10006.0</v>
      </c>
      <c r="D338" s="98" t="s">
        <v>77</v>
      </c>
      <c r="E338" s="98" t="s">
        <v>162</v>
      </c>
      <c r="F338" s="99">
        <v>0.3236111111111111</v>
      </c>
      <c r="G338" s="99">
        <v>0.7319444444444444</v>
      </c>
      <c r="H338" s="101"/>
      <c r="I338" s="92" t="str">
        <f>IFERROR(VLOOKUP(D338,'Công T5'!$C$7:$F$89,4,0),"")</f>
        <v>NV</v>
      </c>
      <c r="J338" s="92">
        <f t="shared" si="8"/>
        <v>0.3236111111</v>
      </c>
      <c r="K338" s="92">
        <f t="shared" si="1"/>
        <v>0.7319444444</v>
      </c>
      <c r="L338" s="92" t="str">
        <f>IFERROR(VLOOKUP(D338,'Công T5'!$C$7:$F$89,2,0),"")</f>
        <v/>
      </c>
      <c r="M338" s="92" t="str">
        <f>IFERROR(VLOOKUP(D338,'Công T5'!$C$7:$F$89,3,0),"")</f>
        <v/>
      </c>
      <c r="N338" s="92">
        <f t="shared" si="9"/>
        <v>0.3333333333</v>
      </c>
      <c r="O338" s="92">
        <f t="shared" si="2"/>
        <v>0.7083333333</v>
      </c>
      <c r="P338" s="94">
        <f t="shared" si="3"/>
        <v>0.5</v>
      </c>
      <c r="Q338" s="94">
        <f t="shared" si="4"/>
        <v>0.5</v>
      </c>
      <c r="R338" s="95">
        <f t="shared" si="5"/>
        <v>1</v>
      </c>
      <c r="S338" s="95">
        <f t="shared" si="6"/>
        <v>0</v>
      </c>
      <c r="T338" s="95">
        <f t="shared" si="7"/>
        <v>0</v>
      </c>
    </row>
    <row r="339">
      <c r="A339" s="96">
        <v>70.0</v>
      </c>
      <c r="B339" s="97">
        <v>44686.0</v>
      </c>
      <c r="C339" s="96">
        <v>10409.0</v>
      </c>
      <c r="D339" s="98" t="s">
        <v>85</v>
      </c>
      <c r="E339" s="98" t="s">
        <v>159</v>
      </c>
      <c r="F339" s="99">
        <v>0.3277777777777778</v>
      </c>
      <c r="G339" s="102"/>
      <c r="H339" s="101"/>
      <c r="I339" s="92" t="str">
        <f>IFERROR(VLOOKUP(D339,'Công T5'!$C$7:$F$89,4,0),"")</f>
        <v>NV</v>
      </c>
      <c r="J339" s="92">
        <f t="shared" si="8"/>
        <v>0.3277777778</v>
      </c>
      <c r="K339" s="92" t="str">
        <f t="shared" si="1"/>
        <v/>
      </c>
      <c r="L339" s="92" t="str">
        <f>IFERROR(VLOOKUP(D339,'Công T5'!$C$7:$F$89,2,0),"")</f>
        <v/>
      </c>
      <c r="M339" s="92" t="str">
        <f>IFERROR(VLOOKUP(D339,'Công T5'!$C$7:$F$89,3,0),"")</f>
        <v/>
      </c>
      <c r="N339" s="92">
        <f t="shared" si="9"/>
        <v>0.3333333333</v>
      </c>
      <c r="O339" s="92" t="str">
        <f t="shared" si="2"/>
        <v/>
      </c>
      <c r="P339" s="94">
        <f t="shared" si="3"/>
        <v>0</v>
      </c>
      <c r="Q339" s="94" t="str">
        <f t="shared" si="4"/>
        <v/>
      </c>
      <c r="R339" s="95">
        <f t="shared" si="5"/>
        <v>0.5</v>
      </c>
      <c r="S339" s="95" t="str">
        <f t="shared" si="6"/>
        <v/>
      </c>
      <c r="T339" s="95">
        <f t="shared" si="7"/>
        <v>1</v>
      </c>
    </row>
    <row r="340">
      <c r="A340" s="96">
        <v>71.0</v>
      </c>
      <c r="B340" s="97">
        <v>44687.0</v>
      </c>
      <c r="C340" s="96">
        <v>10409.0</v>
      </c>
      <c r="D340" s="98" t="s">
        <v>85</v>
      </c>
      <c r="E340" s="98" t="s">
        <v>159</v>
      </c>
      <c r="F340" s="99">
        <v>0.3215277777777778</v>
      </c>
      <c r="G340" s="102"/>
      <c r="H340" s="101"/>
      <c r="I340" s="92" t="str">
        <f>IFERROR(VLOOKUP(D340,'Công T5'!$C$7:$F$89,4,0),"")</f>
        <v>NV</v>
      </c>
      <c r="J340" s="92">
        <f t="shared" si="8"/>
        <v>0.3215277778</v>
      </c>
      <c r="K340" s="92" t="str">
        <f t="shared" si="1"/>
        <v/>
      </c>
      <c r="L340" s="92" t="str">
        <f>IFERROR(VLOOKUP(D340,'Công T5'!$C$7:$F$89,2,0),"")</f>
        <v/>
      </c>
      <c r="M340" s="92" t="str">
        <f>IFERROR(VLOOKUP(D340,'Công T5'!$C$7:$F$89,3,0),"")</f>
        <v/>
      </c>
      <c r="N340" s="92">
        <f t="shared" si="9"/>
        <v>0.3333333333</v>
      </c>
      <c r="O340" s="92" t="str">
        <f t="shared" si="2"/>
        <v/>
      </c>
      <c r="P340" s="94">
        <f t="shared" si="3"/>
        <v>0</v>
      </c>
      <c r="Q340" s="94" t="str">
        <f t="shared" si="4"/>
        <v/>
      </c>
      <c r="R340" s="95">
        <f t="shared" si="5"/>
        <v>0.5</v>
      </c>
      <c r="S340" s="95" t="str">
        <f t="shared" si="6"/>
        <v/>
      </c>
      <c r="T340" s="95">
        <f t="shared" si="7"/>
        <v>1</v>
      </c>
    </row>
    <row r="341">
      <c r="A341" s="96">
        <v>72.0</v>
      </c>
      <c r="B341" s="97">
        <v>44688.0</v>
      </c>
      <c r="C341" s="96">
        <v>10409.0</v>
      </c>
      <c r="D341" s="98" t="s">
        <v>85</v>
      </c>
      <c r="E341" s="98" t="s">
        <v>159</v>
      </c>
      <c r="F341" s="99">
        <v>0.3229166666666667</v>
      </c>
      <c r="G341" s="102"/>
      <c r="H341" s="101"/>
      <c r="I341" s="92" t="str">
        <f>IFERROR(VLOOKUP(D341,'Công T5'!$C$7:$F$89,4,0),"")</f>
        <v>NV</v>
      </c>
      <c r="J341" s="92">
        <f t="shared" si="8"/>
        <v>0.3229166667</v>
      </c>
      <c r="K341" s="92">
        <f t="shared" si="1"/>
        <v>0.7472222222</v>
      </c>
      <c r="L341" s="92" t="str">
        <f>IFERROR(VLOOKUP(D341,'Công T5'!$C$7:$F$89,2,0),"")</f>
        <v/>
      </c>
      <c r="M341" s="92" t="str">
        <f>IFERROR(VLOOKUP(D341,'Công T5'!$C$7:$F$89,3,0),"")</f>
        <v/>
      </c>
      <c r="N341" s="92">
        <f t="shared" si="9"/>
        <v>0.3333333333</v>
      </c>
      <c r="O341" s="92">
        <f t="shared" si="2"/>
        <v>0.7083333333</v>
      </c>
      <c r="P341" s="94">
        <f t="shared" si="3"/>
        <v>0.5</v>
      </c>
      <c r="Q341" s="94">
        <f t="shared" si="4"/>
        <v>0.5</v>
      </c>
      <c r="R341" s="95">
        <f t="shared" si="5"/>
        <v>1</v>
      </c>
      <c r="S341" s="95">
        <f t="shared" si="6"/>
        <v>0</v>
      </c>
      <c r="T341" s="95">
        <f t="shared" si="7"/>
        <v>0</v>
      </c>
    </row>
    <row r="342">
      <c r="A342" s="96">
        <v>73.0</v>
      </c>
      <c r="B342" s="97">
        <v>44688.0</v>
      </c>
      <c r="C342" s="96">
        <v>10409.0</v>
      </c>
      <c r="D342" s="98" t="s">
        <v>85</v>
      </c>
      <c r="E342" s="98" t="s">
        <v>159</v>
      </c>
      <c r="F342" s="99">
        <v>0.7472222222222222</v>
      </c>
      <c r="G342" s="102"/>
      <c r="H342" s="101"/>
      <c r="I342" s="92" t="str">
        <f>IFERROR(VLOOKUP(D342,'Công T5'!$C$7:$F$89,4,0),"")</f>
        <v>NV</v>
      </c>
      <c r="J342" s="92">
        <f t="shared" si="8"/>
        <v>0.7472222222</v>
      </c>
      <c r="K342" s="92" t="str">
        <f t="shared" si="1"/>
        <v/>
      </c>
      <c r="L342" s="92" t="str">
        <f>IFERROR(VLOOKUP(D342,'Công T5'!$C$7:$F$89,2,0),"")</f>
        <v/>
      </c>
      <c r="M342" s="92" t="str">
        <f>IFERROR(VLOOKUP(D342,'Công T5'!$C$7:$F$89,3,0),"")</f>
        <v/>
      </c>
      <c r="N342" s="92">
        <f t="shared" si="9"/>
        <v>0.7472222222</v>
      </c>
      <c r="O342" s="92" t="str">
        <f t="shared" si="2"/>
        <v/>
      </c>
      <c r="P342" s="94">
        <f t="shared" si="3"/>
        <v>0</v>
      </c>
      <c r="Q342" s="94" t="str">
        <f t="shared" si="4"/>
        <v/>
      </c>
      <c r="R342" s="95">
        <f t="shared" si="5"/>
        <v>0.5</v>
      </c>
      <c r="S342" s="95" t="str">
        <f t="shared" si="6"/>
        <v/>
      </c>
      <c r="T342" s="95">
        <f t="shared" si="7"/>
        <v>1</v>
      </c>
    </row>
    <row r="343">
      <c r="A343" s="96">
        <v>74.0</v>
      </c>
      <c r="B343" s="97">
        <v>44690.0</v>
      </c>
      <c r="C343" s="96">
        <v>10409.0</v>
      </c>
      <c r="D343" s="98" t="s">
        <v>85</v>
      </c>
      <c r="E343" s="98" t="s">
        <v>159</v>
      </c>
      <c r="F343" s="99">
        <v>0.32083333333333336</v>
      </c>
      <c r="G343" s="102"/>
      <c r="H343" s="101"/>
      <c r="I343" s="92" t="str">
        <f>IFERROR(VLOOKUP(D343,'Công T5'!$C$7:$F$89,4,0),"")</f>
        <v>NV</v>
      </c>
      <c r="J343" s="92">
        <f t="shared" si="8"/>
        <v>0.3208333333</v>
      </c>
      <c r="K343" s="92">
        <f t="shared" si="1"/>
        <v>0.7493055556</v>
      </c>
      <c r="L343" s="92" t="str">
        <f>IFERROR(VLOOKUP(D343,'Công T5'!$C$7:$F$89,2,0),"")</f>
        <v/>
      </c>
      <c r="M343" s="92" t="str">
        <f>IFERROR(VLOOKUP(D343,'Công T5'!$C$7:$F$89,3,0),"")</f>
        <v/>
      </c>
      <c r="N343" s="92">
        <f t="shared" si="9"/>
        <v>0.3333333333</v>
      </c>
      <c r="O343" s="92">
        <f t="shared" si="2"/>
        <v>0.7083333333</v>
      </c>
      <c r="P343" s="94">
        <f t="shared" si="3"/>
        <v>0.5</v>
      </c>
      <c r="Q343" s="94">
        <f t="shared" si="4"/>
        <v>0.5</v>
      </c>
      <c r="R343" s="95">
        <f t="shared" si="5"/>
        <v>1</v>
      </c>
      <c r="S343" s="95">
        <f t="shared" si="6"/>
        <v>0</v>
      </c>
      <c r="T343" s="95">
        <f t="shared" si="7"/>
        <v>0</v>
      </c>
    </row>
    <row r="344">
      <c r="A344" s="96">
        <v>75.0</v>
      </c>
      <c r="B344" s="97">
        <v>44690.0</v>
      </c>
      <c r="C344" s="96">
        <v>10409.0</v>
      </c>
      <c r="D344" s="98" t="s">
        <v>85</v>
      </c>
      <c r="E344" s="98" t="s">
        <v>159</v>
      </c>
      <c r="F344" s="99">
        <v>0.7493055555555556</v>
      </c>
      <c r="G344" s="102"/>
      <c r="H344" s="101"/>
      <c r="I344" s="92" t="str">
        <f>IFERROR(VLOOKUP(D344,'Công T5'!$C$7:$F$89,4,0),"")</f>
        <v>NV</v>
      </c>
      <c r="J344" s="92">
        <f t="shared" si="8"/>
        <v>0.7493055556</v>
      </c>
      <c r="K344" s="92" t="str">
        <f t="shared" si="1"/>
        <v/>
      </c>
      <c r="L344" s="92" t="str">
        <f>IFERROR(VLOOKUP(D344,'Công T5'!$C$7:$F$89,2,0),"")</f>
        <v/>
      </c>
      <c r="M344" s="92" t="str">
        <f>IFERROR(VLOOKUP(D344,'Công T5'!$C$7:$F$89,3,0),"")</f>
        <v/>
      </c>
      <c r="N344" s="92">
        <f t="shared" si="9"/>
        <v>0.7493055556</v>
      </c>
      <c r="O344" s="92" t="str">
        <f t="shared" si="2"/>
        <v/>
      </c>
      <c r="P344" s="94">
        <f t="shared" si="3"/>
        <v>0</v>
      </c>
      <c r="Q344" s="94" t="str">
        <f t="shared" si="4"/>
        <v/>
      </c>
      <c r="R344" s="95">
        <f t="shared" si="5"/>
        <v>0.5</v>
      </c>
      <c r="S344" s="95" t="str">
        <f t="shared" si="6"/>
        <v/>
      </c>
      <c r="T344" s="95">
        <f t="shared" si="7"/>
        <v>1</v>
      </c>
    </row>
    <row r="345">
      <c r="A345" s="96">
        <v>76.0</v>
      </c>
      <c r="B345" s="97">
        <v>44691.0</v>
      </c>
      <c r="C345" s="96">
        <v>10409.0</v>
      </c>
      <c r="D345" s="98" t="s">
        <v>85</v>
      </c>
      <c r="E345" s="98" t="s">
        <v>159</v>
      </c>
      <c r="F345" s="99">
        <v>0.32222222222222224</v>
      </c>
      <c r="G345" s="102"/>
      <c r="H345" s="101"/>
      <c r="I345" s="92" t="str">
        <f>IFERROR(VLOOKUP(D345,'Công T5'!$C$7:$F$89,4,0),"")</f>
        <v>NV</v>
      </c>
      <c r="J345" s="92">
        <f t="shared" si="8"/>
        <v>0.3222222222</v>
      </c>
      <c r="K345" s="92">
        <f t="shared" si="1"/>
        <v>0.7625</v>
      </c>
      <c r="L345" s="92" t="str">
        <f>IFERROR(VLOOKUP(D345,'Công T5'!$C$7:$F$89,2,0),"")</f>
        <v/>
      </c>
      <c r="M345" s="92" t="str">
        <f>IFERROR(VLOOKUP(D345,'Công T5'!$C$7:$F$89,3,0),"")</f>
        <v/>
      </c>
      <c r="N345" s="92">
        <f t="shared" si="9"/>
        <v>0.3333333333</v>
      </c>
      <c r="O345" s="92">
        <f t="shared" si="2"/>
        <v>0.7083333333</v>
      </c>
      <c r="P345" s="94">
        <f t="shared" si="3"/>
        <v>0.5</v>
      </c>
      <c r="Q345" s="94">
        <f t="shared" si="4"/>
        <v>0.5</v>
      </c>
      <c r="R345" s="95">
        <f t="shared" si="5"/>
        <v>1</v>
      </c>
      <c r="S345" s="95">
        <f t="shared" si="6"/>
        <v>0</v>
      </c>
      <c r="T345" s="95">
        <f t="shared" si="7"/>
        <v>0</v>
      </c>
    </row>
    <row r="346">
      <c r="A346" s="96">
        <v>77.0</v>
      </c>
      <c r="B346" s="97">
        <v>44691.0</v>
      </c>
      <c r="C346" s="96">
        <v>10409.0</v>
      </c>
      <c r="D346" s="98" t="s">
        <v>85</v>
      </c>
      <c r="E346" s="98" t="s">
        <v>159</v>
      </c>
      <c r="F346" s="99">
        <v>0.7625</v>
      </c>
      <c r="G346" s="102"/>
      <c r="H346" s="101"/>
      <c r="I346" s="92" t="str">
        <f>IFERROR(VLOOKUP(D346,'Công T5'!$C$7:$F$89,4,0),"")</f>
        <v>NV</v>
      </c>
      <c r="J346" s="92">
        <f t="shared" si="8"/>
        <v>0.7625</v>
      </c>
      <c r="K346" s="92" t="str">
        <f t="shared" si="1"/>
        <v/>
      </c>
      <c r="L346" s="92" t="str">
        <f>IFERROR(VLOOKUP(D346,'Công T5'!$C$7:$F$89,2,0),"")</f>
        <v/>
      </c>
      <c r="M346" s="92" t="str">
        <f>IFERROR(VLOOKUP(D346,'Công T5'!$C$7:$F$89,3,0),"")</f>
        <v/>
      </c>
      <c r="N346" s="92">
        <f t="shared" si="9"/>
        <v>0.7625</v>
      </c>
      <c r="O346" s="92" t="str">
        <f t="shared" si="2"/>
        <v/>
      </c>
      <c r="P346" s="94">
        <f t="shared" si="3"/>
        <v>0</v>
      </c>
      <c r="Q346" s="94" t="str">
        <f t="shared" si="4"/>
        <v/>
      </c>
      <c r="R346" s="95">
        <f t="shared" si="5"/>
        <v>0.5</v>
      </c>
      <c r="S346" s="95" t="str">
        <f t="shared" si="6"/>
        <v/>
      </c>
      <c r="T346" s="95">
        <f t="shared" si="7"/>
        <v>1</v>
      </c>
    </row>
    <row r="347">
      <c r="A347" s="96">
        <v>78.0</v>
      </c>
      <c r="B347" s="97">
        <v>44692.0</v>
      </c>
      <c r="C347" s="96">
        <v>10409.0</v>
      </c>
      <c r="D347" s="98" t="s">
        <v>85</v>
      </c>
      <c r="E347" s="98" t="s">
        <v>159</v>
      </c>
      <c r="F347" s="99">
        <v>0.35208333333333336</v>
      </c>
      <c r="G347" s="102"/>
      <c r="H347" s="101"/>
      <c r="I347" s="92" t="str">
        <f>IFERROR(VLOOKUP(D347,'Công T5'!$C$7:$F$89,4,0),"")</f>
        <v>NV</v>
      </c>
      <c r="J347" s="92">
        <f t="shared" si="8"/>
        <v>0.3520833333</v>
      </c>
      <c r="K347" s="92">
        <f t="shared" si="1"/>
        <v>0.7791666667</v>
      </c>
      <c r="L347" s="92" t="str">
        <f>IFERROR(VLOOKUP(D347,'Công T5'!$C$7:$F$89,2,0),"")</f>
        <v/>
      </c>
      <c r="M347" s="92" t="str">
        <f>IFERROR(VLOOKUP(D347,'Công T5'!$C$7:$F$89,3,0),"")</f>
        <v/>
      </c>
      <c r="N347" s="92">
        <f t="shared" si="9"/>
        <v>0.3333333333</v>
      </c>
      <c r="O347" s="92">
        <f t="shared" si="2"/>
        <v>0.7083333333</v>
      </c>
      <c r="P347" s="94">
        <f t="shared" si="3"/>
        <v>0.5</v>
      </c>
      <c r="Q347" s="94">
        <f t="shared" si="4"/>
        <v>0.5</v>
      </c>
      <c r="R347" s="95">
        <f t="shared" si="5"/>
        <v>1</v>
      </c>
      <c r="S347" s="95">
        <f t="shared" si="6"/>
        <v>1</v>
      </c>
      <c r="T347" s="95">
        <f t="shared" si="7"/>
        <v>0</v>
      </c>
    </row>
    <row r="348">
      <c r="A348" s="96">
        <v>79.0</v>
      </c>
      <c r="B348" s="97">
        <v>44692.0</v>
      </c>
      <c r="C348" s="96">
        <v>10409.0</v>
      </c>
      <c r="D348" s="98" t="s">
        <v>85</v>
      </c>
      <c r="E348" s="98" t="s">
        <v>159</v>
      </c>
      <c r="F348" s="99">
        <v>0.7791666666666667</v>
      </c>
      <c r="G348" s="102"/>
      <c r="H348" s="101"/>
      <c r="I348" s="92" t="str">
        <f>IFERROR(VLOOKUP(D348,'Công T5'!$C$7:$F$89,4,0),"")</f>
        <v>NV</v>
      </c>
      <c r="J348" s="92">
        <f t="shared" si="8"/>
        <v>0.7791666667</v>
      </c>
      <c r="K348" s="92" t="str">
        <f t="shared" si="1"/>
        <v/>
      </c>
      <c r="L348" s="92" t="str">
        <f>IFERROR(VLOOKUP(D348,'Công T5'!$C$7:$F$89,2,0),"")</f>
        <v/>
      </c>
      <c r="M348" s="92" t="str">
        <f>IFERROR(VLOOKUP(D348,'Công T5'!$C$7:$F$89,3,0),"")</f>
        <v/>
      </c>
      <c r="N348" s="92">
        <f t="shared" si="9"/>
        <v>0.7791666667</v>
      </c>
      <c r="O348" s="92" t="str">
        <f t="shared" si="2"/>
        <v/>
      </c>
      <c r="P348" s="94">
        <f t="shared" si="3"/>
        <v>0</v>
      </c>
      <c r="Q348" s="94" t="str">
        <f t="shared" si="4"/>
        <v/>
      </c>
      <c r="R348" s="95">
        <f t="shared" si="5"/>
        <v>0.5</v>
      </c>
      <c r="S348" s="95" t="str">
        <f t="shared" si="6"/>
        <v/>
      </c>
      <c r="T348" s="95">
        <f t="shared" si="7"/>
        <v>1</v>
      </c>
    </row>
    <row r="349">
      <c r="A349" s="96">
        <v>80.0</v>
      </c>
      <c r="B349" s="97">
        <v>44693.0</v>
      </c>
      <c r="C349" s="96">
        <v>10409.0</v>
      </c>
      <c r="D349" s="98" t="s">
        <v>85</v>
      </c>
      <c r="E349" s="98" t="s">
        <v>159</v>
      </c>
      <c r="F349" s="99">
        <v>0.3194444444444444</v>
      </c>
      <c r="G349" s="102"/>
      <c r="H349" s="101"/>
      <c r="I349" s="92" t="str">
        <f>IFERROR(VLOOKUP(D349,'Công T5'!$C$7:$F$89,4,0),"")</f>
        <v>NV</v>
      </c>
      <c r="J349" s="92">
        <f t="shared" si="8"/>
        <v>0.3194444444</v>
      </c>
      <c r="K349" s="92">
        <f t="shared" si="1"/>
        <v>0.7625</v>
      </c>
      <c r="L349" s="92" t="str">
        <f>IFERROR(VLOOKUP(D349,'Công T5'!$C$7:$F$89,2,0),"")</f>
        <v/>
      </c>
      <c r="M349" s="92" t="str">
        <f>IFERROR(VLOOKUP(D349,'Công T5'!$C$7:$F$89,3,0),"")</f>
        <v/>
      </c>
      <c r="N349" s="92">
        <f t="shared" si="9"/>
        <v>0.3333333333</v>
      </c>
      <c r="O349" s="92">
        <f t="shared" si="2"/>
        <v>0.7083333333</v>
      </c>
      <c r="P349" s="94">
        <f t="shared" si="3"/>
        <v>0.5</v>
      </c>
      <c r="Q349" s="94">
        <f t="shared" si="4"/>
        <v>0.5</v>
      </c>
      <c r="R349" s="95">
        <f t="shared" si="5"/>
        <v>1</v>
      </c>
      <c r="S349" s="95">
        <f t="shared" si="6"/>
        <v>0</v>
      </c>
      <c r="T349" s="95">
        <f t="shared" si="7"/>
        <v>0</v>
      </c>
    </row>
    <row r="350">
      <c r="A350" s="96">
        <v>81.0</v>
      </c>
      <c r="B350" s="103">
        <v>44693.0</v>
      </c>
      <c r="C350" s="96">
        <v>10409.0</v>
      </c>
      <c r="D350" s="98" t="s">
        <v>85</v>
      </c>
      <c r="E350" s="98" t="s">
        <v>159</v>
      </c>
      <c r="F350" s="99">
        <v>0.7625</v>
      </c>
      <c r="G350" s="102"/>
      <c r="H350" s="101"/>
      <c r="I350" s="92" t="str">
        <f>IFERROR(VLOOKUP(D350,'Công T5'!$C$7:$F$89,4,0),"")</f>
        <v>NV</v>
      </c>
      <c r="J350" s="92">
        <f t="shared" si="8"/>
        <v>0.7625</v>
      </c>
      <c r="K350" s="92" t="str">
        <f t="shared" si="1"/>
        <v/>
      </c>
      <c r="L350" s="92" t="str">
        <f>IFERROR(VLOOKUP(D350,'Công T5'!$C$7:$F$89,2,0),"")</f>
        <v/>
      </c>
      <c r="M350" s="92" t="str">
        <f>IFERROR(VLOOKUP(D350,'Công T5'!$C$7:$F$89,3,0),"")</f>
        <v/>
      </c>
      <c r="N350" s="92">
        <f t="shared" si="9"/>
        <v>0.7625</v>
      </c>
      <c r="O350" s="92" t="str">
        <f t="shared" si="2"/>
        <v/>
      </c>
      <c r="P350" s="94">
        <f t="shared" si="3"/>
        <v>0</v>
      </c>
      <c r="Q350" s="94" t="str">
        <f t="shared" si="4"/>
        <v/>
      </c>
      <c r="R350" s="95">
        <f t="shared" si="5"/>
        <v>0.5</v>
      </c>
      <c r="S350" s="95" t="str">
        <f t="shared" si="6"/>
        <v/>
      </c>
      <c r="T350" s="95">
        <f t="shared" si="7"/>
        <v>1</v>
      </c>
    </row>
    <row r="351">
      <c r="A351" s="96">
        <v>82.0</v>
      </c>
      <c r="B351" s="97">
        <v>44694.0</v>
      </c>
      <c r="C351" s="96">
        <v>10409.0</v>
      </c>
      <c r="D351" s="98" t="s">
        <v>85</v>
      </c>
      <c r="E351" s="98" t="s">
        <v>159</v>
      </c>
      <c r="F351" s="99">
        <v>0.3229166666666667</v>
      </c>
      <c r="G351" s="102"/>
      <c r="H351" s="101"/>
      <c r="I351" s="92" t="str">
        <f>IFERROR(VLOOKUP(D351,'Công T5'!$C$7:$F$89,4,0),"")</f>
        <v>NV</v>
      </c>
      <c r="J351" s="92">
        <f t="shared" si="8"/>
        <v>0.3229166667</v>
      </c>
      <c r="K351" s="92">
        <f t="shared" si="1"/>
        <v>0.78125</v>
      </c>
      <c r="L351" s="92" t="str">
        <f>IFERROR(VLOOKUP(D351,'Công T5'!$C$7:$F$89,2,0),"")</f>
        <v/>
      </c>
      <c r="M351" s="92" t="str">
        <f>IFERROR(VLOOKUP(D351,'Công T5'!$C$7:$F$89,3,0),"")</f>
        <v/>
      </c>
      <c r="N351" s="92">
        <f t="shared" si="9"/>
        <v>0.3333333333</v>
      </c>
      <c r="O351" s="92">
        <f t="shared" si="2"/>
        <v>0.7083333333</v>
      </c>
      <c r="P351" s="94">
        <f t="shared" si="3"/>
        <v>0.5</v>
      </c>
      <c r="Q351" s="94">
        <f t="shared" si="4"/>
        <v>0.5</v>
      </c>
      <c r="R351" s="95">
        <f t="shared" si="5"/>
        <v>1</v>
      </c>
      <c r="S351" s="95">
        <f t="shared" si="6"/>
        <v>0</v>
      </c>
      <c r="T351" s="95">
        <f t="shared" si="7"/>
        <v>0</v>
      </c>
    </row>
    <row r="352">
      <c r="A352" s="96">
        <v>83.0</v>
      </c>
      <c r="B352" s="97">
        <v>44694.0</v>
      </c>
      <c r="C352" s="96">
        <v>10409.0</v>
      </c>
      <c r="D352" s="98" t="s">
        <v>85</v>
      </c>
      <c r="E352" s="98" t="s">
        <v>159</v>
      </c>
      <c r="F352" s="99">
        <v>0.78125</v>
      </c>
      <c r="G352" s="102"/>
      <c r="H352" s="101"/>
      <c r="I352" s="92" t="str">
        <f>IFERROR(VLOOKUP(D352,'Công T5'!$C$7:$F$89,4,0),"")</f>
        <v>NV</v>
      </c>
      <c r="J352" s="92">
        <f t="shared" si="8"/>
        <v>0.78125</v>
      </c>
      <c r="K352" s="92" t="str">
        <f t="shared" si="1"/>
        <v/>
      </c>
      <c r="L352" s="92" t="str">
        <f>IFERROR(VLOOKUP(D352,'Công T5'!$C$7:$F$89,2,0),"")</f>
        <v/>
      </c>
      <c r="M352" s="92" t="str">
        <f>IFERROR(VLOOKUP(D352,'Công T5'!$C$7:$F$89,3,0),"")</f>
        <v/>
      </c>
      <c r="N352" s="92">
        <f t="shared" si="9"/>
        <v>0.78125</v>
      </c>
      <c r="O352" s="92" t="str">
        <f t="shared" si="2"/>
        <v/>
      </c>
      <c r="P352" s="94">
        <f t="shared" si="3"/>
        <v>0</v>
      </c>
      <c r="Q352" s="94" t="str">
        <f t="shared" si="4"/>
        <v/>
      </c>
      <c r="R352" s="95">
        <f t="shared" si="5"/>
        <v>0.5</v>
      </c>
      <c r="S352" s="95" t="str">
        <f t="shared" si="6"/>
        <v/>
      </c>
      <c r="T352" s="95">
        <f t="shared" si="7"/>
        <v>1</v>
      </c>
    </row>
    <row r="353">
      <c r="A353" s="96">
        <v>84.0</v>
      </c>
      <c r="B353" s="97">
        <v>44697.0</v>
      </c>
      <c r="C353" s="96">
        <v>10409.0</v>
      </c>
      <c r="D353" s="98" t="s">
        <v>85</v>
      </c>
      <c r="E353" s="98" t="s">
        <v>159</v>
      </c>
      <c r="F353" s="99">
        <v>0.3229166666666667</v>
      </c>
      <c r="G353" s="102"/>
      <c r="H353" s="101"/>
      <c r="I353" s="92" t="str">
        <f>IFERROR(VLOOKUP(D353,'Công T5'!$C$7:$F$89,4,0),"")</f>
        <v>NV</v>
      </c>
      <c r="J353" s="92">
        <f t="shared" si="8"/>
        <v>0.3229166667</v>
      </c>
      <c r="K353" s="92">
        <f t="shared" si="1"/>
        <v>0.7631944444</v>
      </c>
      <c r="L353" s="92" t="str">
        <f>IFERROR(VLOOKUP(D353,'Công T5'!$C$7:$F$89,2,0),"")</f>
        <v/>
      </c>
      <c r="M353" s="92" t="str">
        <f>IFERROR(VLOOKUP(D353,'Công T5'!$C$7:$F$89,3,0),"")</f>
        <v/>
      </c>
      <c r="N353" s="92">
        <f t="shared" si="9"/>
        <v>0.3333333333</v>
      </c>
      <c r="O353" s="92">
        <f t="shared" si="2"/>
        <v>0.7083333333</v>
      </c>
      <c r="P353" s="94">
        <f t="shared" si="3"/>
        <v>0.5</v>
      </c>
      <c r="Q353" s="94">
        <f t="shared" si="4"/>
        <v>0.5</v>
      </c>
      <c r="R353" s="95">
        <f t="shared" si="5"/>
        <v>1</v>
      </c>
      <c r="S353" s="95">
        <f t="shared" si="6"/>
        <v>0</v>
      </c>
      <c r="T353" s="95">
        <f t="shared" si="7"/>
        <v>0</v>
      </c>
    </row>
    <row r="354">
      <c r="A354" s="96">
        <v>85.0</v>
      </c>
      <c r="B354" s="97">
        <v>44697.0</v>
      </c>
      <c r="C354" s="96">
        <v>10409.0</v>
      </c>
      <c r="D354" s="98" t="s">
        <v>85</v>
      </c>
      <c r="E354" s="98" t="s">
        <v>159</v>
      </c>
      <c r="F354" s="99">
        <v>0.7631944444444444</v>
      </c>
      <c r="G354" s="102"/>
      <c r="H354" s="101"/>
      <c r="I354" s="92" t="str">
        <f>IFERROR(VLOOKUP(D354,'Công T5'!$C$7:$F$89,4,0),"")</f>
        <v>NV</v>
      </c>
      <c r="J354" s="92">
        <f t="shared" si="8"/>
        <v>0.7631944444</v>
      </c>
      <c r="K354" s="92" t="str">
        <f t="shared" si="1"/>
        <v/>
      </c>
      <c r="L354" s="92" t="str">
        <f>IFERROR(VLOOKUP(D354,'Công T5'!$C$7:$F$89,2,0),"")</f>
        <v/>
      </c>
      <c r="M354" s="92" t="str">
        <f>IFERROR(VLOOKUP(D354,'Công T5'!$C$7:$F$89,3,0),"")</f>
        <v/>
      </c>
      <c r="N354" s="92">
        <f t="shared" si="9"/>
        <v>0.7631944444</v>
      </c>
      <c r="O354" s="92" t="str">
        <f t="shared" si="2"/>
        <v/>
      </c>
      <c r="P354" s="94">
        <f t="shared" si="3"/>
        <v>0</v>
      </c>
      <c r="Q354" s="94" t="str">
        <f t="shared" si="4"/>
        <v/>
      </c>
      <c r="R354" s="95">
        <f t="shared" si="5"/>
        <v>0.5</v>
      </c>
      <c r="S354" s="95" t="str">
        <f t="shared" si="6"/>
        <v/>
      </c>
      <c r="T354" s="95">
        <f t="shared" si="7"/>
        <v>1</v>
      </c>
    </row>
    <row r="355">
      <c r="A355" s="96">
        <v>86.0</v>
      </c>
      <c r="B355" s="97">
        <v>44698.0</v>
      </c>
      <c r="C355" s="96">
        <v>10409.0</v>
      </c>
      <c r="D355" s="98" t="s">
        <v>85</v>
      </c>
      <c r="E355" s="98" t="s">
        <v>159</v>
      </c>
      <c r="F355" s="99">
        <v>0.32222222222222224</v>
      </c>
      <c r="G355" s="102"/>
      <c r="H355" s="101"/>
      <c r="I355" s="92" t="str">
        <f>IFERROR(VLOOKUP(D355,'Công T5'!$C$7:$F$89,4,0),"")</f>
        <v>NV</v>
      </c>
      <c r="J355" s="92">
        <f t="shared" si="8"/>
        <v>0.3222222222</v>
      </c>
      <c r="K355" s="92">
        <f t="shared" si="1"/>
        <v>0.8034722222</v>
      </c>
      <c r="L355" s="92" t="str">
        <f>IFERROR(VLOOKUP(D355,'Công T5'!$C$7:$F$89,2,0),"")</f>
        <v/>
      </c>
      <c r="M355" s="92" t="str">
        <f>IFERROR(VLOOKUP(D355,'Công T5'!$C$7:$F$89,3,0),"")</f>
        <v/>
      </c>
      <c r="N355" s="92">
        <f t="shared" si="9"/>
        <v>0.3333333333</v>
      </c>
      <c r="O355" s="92">
        <f t="shared" si="2"/>
        <v>0.7083333333</v>
      </c>
      <c r="P355" s="94">
        <f t="shared" si="3"/>
        <v>0.5</v>
      </c>
      <c r="Q355" s="94">
        <f t="shared" si="4"/>
        <v>0.5</v>
      </c>
      <c r="R355" s="95">
        <f t="shared" si="5"/>
        <v>1</v>
      </c>
      <c r="S355" s="95">
        <f t="shared" si="6"/>
        <v>0</v>
      </c>
      <c r="T355" s="95">
        <f t="shared" si="7"/>
        <v>0</v>
      </c>
    </row>
    <row r="356">
      <c r="A356" s="96">
        <v>87.0</v>
      </c>
      <c r="B356" s="97">
        <v>44698.0</v>
      </c>
      <c r="C356" s="96">
        <v>10409.0</v>
      </c>
      <c r="D356" s="98" t="s">
        <v>85</v>
      </c>
      <c r="E356" s="98" t="s">
        <v>159</v>
      </c>
      <c r="F356" s="99">
        <v>0.8034722222222223</v>
      </c>
      <c r="G356" s="102"/>
      <c r="H356" s="101"/>
      <c r="I356" s="92" t="str">
        <f>IFERROR(VLOOKUP(D356,'Công T5'!$C$7:$F$89,4,0),"")</f>
        <v>NV</v>
      </c>
      <c r="J356" s="92">
        <f t="shared" si="8"/>
        <v>0.8034722222</v>
      </c>
      <c r="K356" s="92" t="str">
        <f t="shared" si="1"/>
        <v/>
      </c>
      <c r="L356" s="92" t="str">
        <f>IFERROR(VLOOKUP(D356,'Công T5'!$C$7:$F$89,2,0),"")</f>
        <v/>
      </c>
      <c r="M356" s="92" t="str">
        <f>IFERROR(VLOOKUP(D356,'Công T5'!$C$7:$F$89,3,0),"")</f>
        <v/>
      </c>
      <c r="N356" s="92">
        <f t="shared" si="9"/>
        <v>0.8034722222</v>
      </c>
      <c r="O356" s="92" t="str">
        <f t="shared" si="2"/>
        <v/>
      </c>
      <c r="P356" s="94">
        <f t="shared" si="3"/>
        <v>0</v>
      </c>
      <c r="Q356" s="94" t="str">
        <f t="shared" si="4"/>
        <v/>
      </c>
      <c r="R356" s="95">
        <f t="shared" si="5"/>
        <v>0.5</v>
      </c>
      <c r="S356" s="95" t="str">
        <f t="shared" si="6"/>
        <v/>
      </c>
      <c r="T356" s="95">
        <f t="shared" si="7"/>
        <v>1</v>
      </c>
    </row>
    <row r="357">
      <c r="A357" s="96">
        <v>88.0</v>
      </c>
      <c r="B357" s="97">
        <v>44699.0</v>
      </c>
      <c r="C357" s="96">
        <v>10409.0</v>
      </c>
      <c r="D357" s="98" t="s">
        <v>85</v>
      </c>
      <c r="E357" s="98" t="s">
        <v>159</v>
      </c>
      <c r="F357" s="99">
        <v>0.3236111111111111</v>
      </c>
      <c r="G357" s="102"/>
      <c r="H357" s="101"/>
      <c r="I357" s="92" t="str">
        <f>IFERROR(VLOOKUP(D357,'Công T5'!$C$7:$F$89,4,0),"")</f>
        <v>NV</v>
      </c>
      <c r="J357" s="92">
        <f t="shared" si="8"/>
        <v>0.3236111111</v>
      </c>
      <c r="K357" s="92">
        <f t="shared" si="1"/>
        <v>0.7430555556</v>
      </c>
      <c r="L357" s="92" t="str">
        <f>IFERROR(VLOOKUP(D357,'Công T5'!$C$7:$F$89,2,0),"")</f>
        <v/>
      </c>
      <c r="M357" s="92" t="str">
        <f>IFERROR(VLOOKUP(D357,'Công T5'!$C$7:$F$89,3,0),"")</f>
        <v/>
      </c>
      <c r="N357" s="92">
        <f t="shared" si="9"/>
        <v>0.3333333333</v>
      </c>
      <c r="O357" s="92">
        <f t="shared" si="2"/>
        <v>0.7083333333</v>
      </c>
      <c r="P357" s="94">
        <f t="shared" si="3"/>
        <v>0.5</v>
      </c>
      <c r="Q357" s="94">
        <f t="shared" si="4"/>
        <v>0.5</v>
      </c>
      <c r="R357" s="95">
        <f t="shared" si="5"/>
        <v>1</v>
      </c>
      <c r="S357" s="95">
        <f t="shared" si="6"/>
        <v>0</v>
      </c>
      <c r="T357" s="95">
        <f t="shared" si="7"/>
        <v>0</v>
      </c>
    </row>
    <row r="358">
      <c r="A358" s="96">
        <v>89.0</v>
      </c>
      <c r="B358" s="97">
        <v>44699.0</v>
      </c>
      <c r="C358" s="96">
        <v>10409.0</v>
      </c>
      <c r="D358" s="98" t="s">
        <v>85</v>
      </c>
      <c r="E358" s="98" t="s">
        <v>159</v>
      </c>
      <c r="F358" s="99">
        <v>0.7430555555555556</v>
      </c>
      <c r="G358" s="102"/>
      <c r="H358" s="101"/>
      <c r="I358" s="92" t="str">
        <f>IFERROR(VLOOKUP(D358,'Công T5'!$C$7:$F$89,4,0),"")</f>
        <v>NV</v>
      </c>
      <c r="J358" s="92">
        <f t="shared" si="8"/>
        <v>0.7430555556</v>
      </c>
      <c r="K358" s="92" t="str">
        <f t="shared" si="1"/>
        <v/>
      </c>
      <c r="L358" s="92" t="str">
        <f>IFERROR(VLOOKUP(D358,'Công T5'!$C$7:$F$89,2,0),"")</f>
        <v/>
      </c>
      <c r="M358" s="92" t="str">
        <f>IFERROR(VLOOKUP(D358,'Công T5'!$C$7:$F$89,3,0),"")</f>
        <v/>
      </c>
      <c r="N358" s="92">
        <f t="shared" si="9"/>
        <v>0.7430555556</v>
      </c>
      <c r="O358" s="92" t="str">
        <f t="shared" si="2"/>
        <v/>
      </c>
      <c r="P358" s="94">
        <f t="shared" si="3"/>
        <v>0</v>
      </c>
      <c r="Q358" s="94" t="str">
        <f t="shared" si="4"/>
        <v/>
      </c>
      <c r="R358" s="95">
        <f t="shared" si="5"/>
        <v>0.5</v>
      </c>
      <c r="S358" s="95" t="str">
        <f t="shared" si="6"/>
        <v/>
      </c>
      <c r="T358" s="95">
        <f t="shared" si="7"/>
        <v>1</v>
      </c>
    </row>
    <row r="359">
      <c r="A359" s="96">
        <v>90.0</v>
      </c>
      <c r="B359" s="97">
        <v>44700.0</v>
      </c>
      <c r="C359" s="96">
        <v>10409.0</v>
      </c>
      <c r="D359" s="98" t="s">
        <v>85</v>
      </c>
      <c r="E359" s="98" t="s">
        <v>159</v>
      </c>
      <c r="F359" s="99">
        <v>0.3277777777777778</v>
      </c>
      <c r="G359" s="102"/>
      <c r="H359" s="101"/>
      <c r="I359" s="92" t="str">
        <f>IFERROR(VLOOKUP(D359,'Công T5'!$C$7:$F$89,4,0),"")</f>
        <v>NV</v>
      </c>
      <c r="J359" s="92">
        <f t="shared" si="8"/>
        <v>0.3277777778</v>
      </c>
      <c r="K359" s="92">
        <f t="shared" si="1"/>
        <v>0.74375</v>
      </c>
      <c r="L359" s="92" t="str">
        <f>IFERROR(VLOOKUP(D359,'Công T5'!$C$7:$F$89,2,0),"")</f>
        <v/>
      </c>
      <c r="M359" s="92" t="str">
        <f>IFERROR(VLOOKUP(D359,'Công T5'!$C$7:$F$89,3,0),"")</f>
        <v/>
      </c>
      <c r="N359" s="92">
        <f t="shared" si="9"/>
        <v>0.3333333333</v>
      </c>
      <c r="O359" s="92">
        <f t="shared" si="2"/>
        <v>0.7083333333</v>
      </c>
      <c r="P359" s="94">
        <f t="shared" si="3"/>
        <v>0.5</v>
      </c>
      <c r="Q359" s="94">
        <f t="shared" si="4"/>
        <v>0.5</v>
      </c>
      <c r="R359" s="95">
        <f t="shared" si="5"/>
        <v>1</v>
      </c>
      <c r="S359" s="95">
        <f t="shared" si="6"/>
        <v>0</v>
      </c>
      <c r="T359" s="95">
        <f t="shared" si="7"/>
        <v>0</v>
      </c>
    </row>
    <row r="360">
      <c r="A360" s="96">
        <v>91.0</v>
      </c>
      <c r="B360" s="103">
        <v>44700.0</v>
      </c>
      <c r="C360" s="96">
        <v>10409.0</v>
      </c>
      <c r="D360" s="98" t="s">
        <v>85</v>
      </c>
      <c r="E360" s="98" t="s">
        <v>159</v>
      </c>
      <c r="F360" s="99">
        <v>0.74375</v>
      </c>
      <c r="G360" s="102"/>
      <c r="H360" s="101"/>
      <c r="I360" s="92" t="str">
        <f>IFERROR(VLOOKUP(D360,'Công T5'!$C$7:$F$89,4,0),"")</f>
        <v>NV</v>
      </c>
      <c r="J360" s="92">
        <f t="shared" si="8"/>
        <v>0.74375</v>
      </c>
      <c r="K360" s="92" t="str">
        <f t="shared" si="1"/>
        <v/>
      </c>
      <c r="L360" s="92" t="str">
        <f>IFERROR(VLOOKUP(D360,'Công T5'!$C$7:$F$89,2,0),"")</f>
        <v/>
      </c>
      <c r="M360" s="92" t="str">
        <f>IFERROR(VLOOKUP(D360,'Công T5'!$C$7:$F$89,3,0),"")</f>
        <v/>
      </c>
      <c r="N360" s="92">
        <f t="shared" si="9"/>
        <v>0.74375</v>
      </c>
      <c r="O360" s="92" t="str">
        <f t="shared" si="2"/>
        <v/>
      </c>
      <c r="P360" s="94">
        <f t="shared" si="3"/>
        <v>0</v>
      </c>
      <c r="Q360" s="94" t="str">
        <f t="shared" si="4"/>
        <v/>
      </c>
      <c r="R360" s="95">
        <f t="shared" si="5"/>
        <v>0.5</v>
      </c>
      <c r="S360" s="95" t="str">
        <f t="shared" si="6"/>
        <v/>
      </c>
      <c r="T360" s="95">
        <f t="shared" si="7"/>
        <v>1</v>
      </c>
    </row>
    <row r="361">
      <c r="A361" s="96">
        <v>92.0</v>
      </c>
      <c r="B361" s="97">
        <v>44701.0</v>
      </c>
      <c r="C361" s="96">
        <v>10409.0</v>
      </c>
      <c r="D361" s="98" t="s">
        <v>85</v>
      </c>
      <c r="E361" s="98" t="s">
        <v>159</v>
      </c>
      <c r="F361" s="99">
        <v>0.32708333333333334</v>
      </c>
      <c r="G361" s="102"/>
      <c r="H361" s="101"/>
      <c r="I361" s="92" t="str">
        <f>IFERROR(VLOOKUP(D361,'Công T5'!$C$7:$F$89,4,0),"")</f>
        <v>NV</v>
      </c>
      <c r="J361" s="92">
        <f t="shared" si="8"/>
        <v>0.3270833333</v>
      </c>
      <c r="K361" s="92">
        <f t="shared" si="1"/>
        <v>0.7958333333</v>
      </c>
      <c r="L361" s="92" t="str">
        <f>IFERROR(VLOOKUP(D361,'Công T5'!$C$7:$F$89,2,0),"")</f>
        <v/>
      </c>
      <c r="M361" s="92" t="str">
        <f>IFERROR(VLOOKUP(D361,'Công T5'!$C$7:$F$89,3,0),"")</f>
        <v/>
      </c>
      <c r="N361" s="92">
        <f t="shared" si="9"/>
        <v>0.3333333333</v>
      </c>
      <c r="O361" s="92">
        <f t="shared" si="2"/>
        <v>0.7083333333</v>
      </c>
      <c r="P361" s="94">
        <f t="shared" si="3"/>
        <v>0.5</v>
      </c>
      <c r="Q361" s="94">
        <f t="shared" si="4"/>
        <v>0.5</v>
      </c>
      <c r="R361" s="95">
        <f t="shared" si="5"/>
        <v>1</v>
      </c>
      <c r="S361" s="95">
        <f t="shared" si="6"/>
        <v>0</v>
      </c>
      <c r="T361" s="95">
        <f t="shared" si="7"/>
        <v>0</v>
      </c>
    </row>
    <row r="362">
      <c r="A362" s="96">
        <v>93.0</v>
      </c>
      <c r="B362" s="97">
        <v>44701.0</v>
      </c>
      <c r="C362" s="96">
        <v>10409.0</v>
      </c>
      <c r="D362" s="98" t="s">
        <v>85</v>
      </c>
      <c r="E362" s="98" t="s">
        <v>159</v>
      </c>
      <c r="F362" s="99">
        <v>0.7958333333333333</v>
      </c>
      <c r="G362" s="102"/>
      <c r="H362" s="101"/>
      <c r="I362" s="92" t="str">
        <f>IFERROR(VLOOKUP(D362,'Công T5'!$C$7:$F$89,4,0),"")</f>
        <v>NV</v>
      </c>
      <c r="J362" s="92">
        <f t="shared" si="8"/>
        <v>0.7958333333</v>
      </c>
      <c r="K362" s="92" t="str">
        <f t="shared" si="1"/>
        <v/>
      </c>
      <c r="L362" s="92" t="str">
        <f>IFERROR(VLOOKUP(D362,'Công T5'!$C$7:$F$89,2,0),"")</f>
        <v/>
      </c>
      <c r="M362" s="92" t="str">
        <f>IFERROR(VLOOKUP(D362,'Công T5'!$C$7:$F$89,3,0),"")</f>
        <v/>
      </c>
      <c r="N362" s="92">
        <f t="shared" si="9"/>
        <v>0.7958333333</v>
      </c>
      <c r="O362" s="92" t="str">
        <f t="shared" si="2"/>
        <v/>
      </c>
      <c r="P362" s="94">
        <f t="shared" si="3"/>
        <v>0</v>
      </c>
      <c r="Q362" s="94" t="str">
        <f t="shared" si="4"/>
        <v/>
      </c>
      <c r="R362" s="95">
        <f t="shared" si="5"/>
        <v>0.5</v>
      </c>
      <c r="S362" s="95" t="str">
        <f t="shared" si="6"/>
        <v/>
      </c>
      <c r="T362" s="95">
        <f t="shared" si="7"/>
        <v>1</v>
      </c>
    </row>
    <row r="363">
      <c r="A363" s="96">
        <v>94.0</v>
      </c>
      <c r="B363" s="97">
        <v>44702.0</v>
      </c>
      <c r="C363" s="96">
        <v>10409.0</v>
      </c>
      <c r="D363" s="98" t="s">
        <v>85</v>
      </c>
      <c r="E363" s="98" t="s">
        <v>159</v>
      </c>
      <c r="F363" s="99">
        <v>0.33055555555555555</v>
      </c>
      <c r="G363" s="102"/>
      <c r="H363" s="101"/>
      <c r="I363" s="92" t="str">
        <f>IFERROR(VLOOKUP(D363,'Công T5'!$C$7:$F$89,4,0),"")</f>
        <v>NV</v>
      </c>
      <c r="J363" s="92">
        <f t="shared" si="8"/>
        <v>0.3305555556</v>
      </c>
      <c r="K363" s="92">
        <f t="shared" si="1"/>
        <v>0.7465277778</v>
      </c>
      <c r="L363" s="92" t="str">
        <f>IFERROR(VLOOKUP(D363,'Công T5'!$C$7:$F$89,2,0),"")</f>
        <v/>
      </c>
      <c r="M363" s="92" t="str">
        <f>IFERROR(VLOOKUP(D363,'Công T5'!$C$7:$F$89,3,0),"")</f>
        <v/>
      </c>
      <c r="N363" s="92">
        <f t="shared" si="9"/>
        <v>0.3333333333</v>
      </c>
      <c r="O363" s="92">
        <f t="shared" si="2"/>
        <v>0.7083333333</v>
      </c>
      <c r="P363" s="94">
        <f t="shared" si="3"/>
        <v>0.5</v>
      </c>
      <c r="Q363" s="94">
        <f t="shared" si="4"/>
        <v>0.5</v>
      </c>
      <c r="R363" s="95">
        <f t="shared" si="5"/>
        <v>1</v>
      </c>
      <c r="S363" s="95">
        <f t="shared" si="6"/>
        <v>0</v>
      </c>
      <c r="T363" s="95">
        <f t="shared" si="7"/>
        <v>0</v>
      </c>
    </row>
    <row r="364">
      <c r="A364" s="96">
        <v>95.0</v>
      </c>
      <c r="B364" s="103">
        <v>44702.0</v>
      </c>
      <c r="C364" s="96">
        <v>10409.0</v>
      </c>
      <c r="D364" s="98" t="s">
        <v>85</v>
      </c>
      <c r="E364" s="98" t="s">
        <v>159</v>
      </c>
      <c r="F364" s="99">
        <v>0.7465277777777778</v>
      </c>
      <c r="G364" s="102"/>
      <c r="H364" s="101"/>
      <c r="I364" s="92" t="str">
        <f>IFERROR(VLOOKUP(D364,'Công T5'!$C$7:$F$89,4,0),"")</f>
        <v>NV</v>
      </c>
      <c r="J364" s="92">
        <f t="shared" si="8"/>
        <v>0.7465277778</v>
      </c>
      <c r="K364" s="92" t="str">
        <f t="shared" si="1"/>
        <v/>
      </c>
      <c r="L364" s="92" t="str">
        <f>IFERROR(VLOOKUP(D364,'Công T5'!$C$7:$F$89,2,0),"")</f>
        <v/>
      </c>
      <c r="M364" s="92" t="str">
        <f>IFERROR(VLOOKUP(D364,'Công T5'!$C$7:$F$89,3,0),"")</f>
        <v/>
      </c>
      <c r="N364" s="92">
        <f t="shared" si="9"/>
        <v>0.7465277778</v>
      </c>
      <c r="O364" s="92" t="str">
        <f t="shared" si="2"/>
        <v/>
      </c>
      <c r="P364" s="94">
        <f t="shared" si="3"/>
        <v>0</v>
      </c>
      <c r="Q364" s="94" t="str">
        <f t="shared" si="4"/>
        <v/>
      </c>
      <c r="R364" s="95">
        <f t="shared" si="5"/>
        <v>0.5</v>
      </c>
      <c r="S364" s="95" t="str">
        <f t="shared" si="6"/>
        <v/>
      </c>
      <c r="T364" s="95">
        <f t="shared" si="7"/>
        <v>1</v>
      </c>
    </row>
    <row r="365">
      <c r="A365" s="96">
        <v>96.0</v>
      </c>
      <c r="B365" s="97">
        <v>44704.0</v>
      </c>
      <c r="C365" s="96">
        <v>10409.0</v>
      </c>
      <c r="D365" s="98" t="s">
        <v>85</v>
      </c>
      <c r="E365" s="98" t="s">
        <v>159</v>
      </c>
      <c r="F365" s="99">
        <v>0.3458333333333333</v>
      </c>
      <c r="G365" s="102"/>
      <c r="H365" s="101"/>
      <c r="I365" s="92" t="str">
        <f>IFERROR(VLOOKUP(D365,'Công T5'!$C$7:$F$89,4,0),"")</f>
        <v>NV</v>
      </c>
      <c r="J365" s="92">
        <f t="shared" si="8"/>
        <v>0.3458333333</v>
      </c>
      <c r="K365" s="92">
        <f t="shared" si="1"/>
        <v>0.8298611111</v>
      </c>
      <c r="L365" s="92" t="str">
        <f>IFERROR(VLOOKUP(D365,'Công T5'!$C$7:$F$89,2,0),"")</f>
        <v/>
      </c>
      <c r="M365" s="92" t="str">
        <f>IFERROR(VLOOKUP(D365,'Công T5'!$C$7:$F$89,3,0),"")</f>
        <v/>
      </c>
      <c r="N365" s="92">
        <f t="shared" si="9"/>
        <v>0.3333333333</v>
      </c>
      <c r="O365" s="92">
        <f t="shared" si="2"/>
        <v>0.7083333333</v>
      </c>
      <c r="P365" s="94">
        <f t="shared" si="3"/>
        <v>0.5</v>
      </c>
      <c r="Q365" s="94">
        <f t="shared" si="4"/>
        <v>0.5</v>
      </c>
      <c r="R365" s="95">
        <f t="shared" si="5"/>
        <v>1</v>
      </c>
      <c r="S365" s="95">
        <f t="shared" si="6"/>
        <v>1</v>
      </c>
      <c r="T365" s="95">
        <f t="shared" si="7"/>
        <v>0</v>
      </c>
    </row>
    <row r="366">
      <c r="A366" s="96">
        <v>97.0</v>
      </c>
      <c r="B366" s="97">
        <v>44704.0</v>
      </c>
      <c r="C366" s="96">
        <v>10409.0</v>
      </c>
      <c r="D366" s="98" t="s">
        <v>85</v>
      </c>
      <c r="E366" s="98" t="s">
        <v>159</v>
      </c>
      <c r="F366" s="99">
        <v>0.8298611111111112</v>
      </c>
      <c r="G366" s="102"/>
      <c r="H366" s="101"/>
      <c r="I366" s="92" t="str">
        <f>IFERROR(VLOOKUP(D366,'Công T5'!$C$7:$F$89,4,0),"")</f>
        <v>NV</v>
      </c>
      <c r="J366" s="92">
        <f t="shared" si="8"/>
        <v>0.8298611111</v>
      </c>
      <c r="K366" s="92" t="str">
        <f t="shared" si="1"/>
        <v/>
      </c>
      <c r="L366" s="92" t="str">
        <f>IFERROR(VLOOKUP(D366,'Công T5'!$C$7:$F$89,2,0),"")</f>
        <v/>
      </c>
      <c r="M366" s="92" t="str">
        <f>IFERROR(VLOOKUP(D366,'Công T5'!$C$7:$F$89,3,0),"")</f>
        <v/>
      </c>
      <c r="N366" s="92">
        <f t="shared" si="9"/>
        <v>0.8298611111</v>
      </c>
      <c r="O366" s="92" t="str">
        <f t="shared" si="2"/>
        <v/>
      </c>
      <c r="P366" s="94">
        <f t="shared" si="3"/>
        <v>0</v>
      </c>
      <c r="Q366" s="94" t="str">
        <f t="shared" si="4"/>
        <v/>
      </c>
      <c r="R366" s="95">
        <f t="shared" si="5"/>
        <v>0.5</v>
      </c>
      <c r="S366" s="95" t="str">
        <f t="shared" si="6"/>
        <v/>
      </c>
      <c r="T366" s="95">
        <f t="shared" si="7"/>
        <v>1</v>
      </c>
    </row>
    <row r="367">
      <c r="A367" s="96">
        <v>98.0</v>
      </c>
      <c r="B367" s="97">
        <v>44705.0</v>
      </c>
      <c r="C367" s="96">
        <v>10409.0</v>
      </c>
      <c r="D367" s="98" t="s">
        <v>85</v>
      </c>
      <c r="E367" s="98" t="s">
        <v>159</v>
      </c>
      <c r="F367" s="99">
        <v>0.3229166666666667</v>
      </c>
      <c r="G367" s="102"/>
      <c r="H367" s="101"/>
      <c r="I367" s="92" t="str">
        <f>IFERROR(VLOOKUP(D367,'Công T5'!$C$7:$F$89,4,0),"")</f>
        <v>NV</v>
      </c>
      <c r="J367" s="92">
        <f t="shared" si="8"/>
        <v>0.3229166667</v>
      </c>
      <c r="K367" s="92">
        <f t="shared" si="1"/>
        <v>0.7590277778</v>
      </c>
      <c r="L367" s="92" t="str">
        <f>IFERROR(VLOOKUP(D367,'Công T5'!$C$7:$F$89,2,0),"")</f>
        <v/>
      </c>
      <c r="M367" s="92" t="str">
        <f>IFERROR(VLOOKUP(D367,'Công T5'!$C$7:$F$89,3,0),"")</f>
        <v/>
      </c>
      <c r="N367" s="92">
        <f t="shared" si="9"/>
        <v>0.3333333333</v>
      </c>
      <c r="O367" s="92">
        <f t="shared" si="2"/>
        <v>0.7083333333</v>
      </c>
      <c r="P367" s="94">
        <f t="shared" si="3"/>
        <v>0.5</v>
      </c>
      <c r="Q367" s="94">
        <f t="shared" si="4"/>
        <v>0.5</v>
      </c>
      <c r="R367" s="95">
        <f t="shared" si="5"/>
        <v>1</v>
      </c>
      <c r="S367" s="95">
        <f t="shared" si="6"/>
        <v>0</v>
      </c>
      <c r="T367" s="95">
        <f t="shared" si="7"/>
        <v>0</v>
      </c>
    </row>
    <row r="368">
      <c r="A368" s="96">
        <v>99.0</v>
      </c>
      <c r="B368" s="97">
        <v>44705.0</v>
      </c>
      <c r="C368" s="96">
        <v>10409.0</v>
      </c>
      <c r="D368" s="98" t="s">
        <v>85</v>
      </c>
      <c r="E368" s="98" t="s">
        <v>159</v>
      </c>
      <c r="F368" s="99">
        <v>0.7590277777777777</v>
      </c>
      <c r="G368" s="102"/>
      <c r="H368" s="101"/>
      <c r="I368" s="92" t="str">
        <f>IFERROR(VLOOKUP(D368,'Công T5'!$C$7:$F$89,4,0),"")</f>
        <v>NV</v>
      </c>
      <c r="J368" s="92">
        <f t="shared" si="8"/>
        <v>0.7590277778</v>
      </c>
      <c r="K368" s="92" t="str">
        <f t="shared" si="1"/>
        <v/>
      </c>
      <c r="L368" s="92" t="str">
        <f>IFERROR(VLOOKUP(D368,'Công T5'!$C$7:$F$89,2,0),"")</f>
        <v/>
      </c>
      <c r="M368" s="92" t="str">
        <f>IFERROR(VLOOKUP(D368,'Công T5'!$C$7:$F$89,3,0),"")</f>
        <v/>
      </c>
      <c r="N368" s="92">
        <f t="shared" si="9"/>
        <v>0.7590277778</v>
      </c>
      <c r="O368" s="92" t="str">
        <f t="shared" si="2"/>
        <v/>
      </c>
      <c r="P368" s="94">
        <f t="shared" si="3"/>
        <v>0</v>
      </c>
      <c r="Q368" s="94" t="str">
        <f t="shared" si="4"/>
        <v/>
      </c>
      <c r="R368" s="95">
        <f t="shared" si="5"/>
        <v>0.5</v>
      </c>
      <c r="S368" s="95" t="str">
        <f t="shared" si="6"/>
        <v/>
      </c>
      <c r="T368" s="95">
        <f t="shared" si="7"/>
        <v>1</v>
      </c>
    </row>
    <row r="369">
      <c r="A369" s="96">
        <v>100.0</v>
      </c>
      <c r="B369" s="97">
        <v>44706.0</v>
      </c>
      <c r="C369" s="96">
        <v>10409.0</v>
      </c>
      <c r="D369" s="98" t="s">
        <v>85</v>
      </c>
      <c r="E369" s="98" t="s">
        <v>159</v>
      </c>
      <c r="F369" s="99">
        <v>0.31527777777777777</v>
      </c>
      <c r="G369" s="102"/>
      <c r="H369" s="101"/>
      <c r="I369" s="92" t="str">
        <f>IFERROR(VLOOKUP(D369,'Công T5'!$C$7:$F$89,4,0),"")</f>
        <v>NV</v>
      </c>
      <c r="J369" s="92">
        <f t="shared" si="8"/>
        <v>0.3152777778</v>
      </c>
      <c r="K369" s="92">
        <f t="shared" si="1"/>
        <v>0.7673611111</v>
      </c>
      <c r="L369" s="92" t="str">
        <f>IFERROR(VLOOKUP(D369,'Công T5'!$C$7:$F$89,2,0),"")</f>
        <v/>
      </c>
      <c r="M369" s="92" t="str">
        <f>IFERROR(VLOOKUP(D369,'Công T5'!$C$7:$F$89,3,0),"")</f>
        <v/>
      </c>
      <c r="N369" s="92">
        <f t="shared" si="9"/>
        <v>0.3333333333</v>
      </c>
      <c r="O369" s="92">
        <f t="shared" si="2"/>
        <v>0.7083333333</v>
      </c>
      <c r="P369" s="94">
        <f t="shared" si="3"/>
        <v>0.5</v>
      </c>
      <c r="Q369" s="94">
        <f t="shared" si="4"/>
        <v>0.5</v>
      </c>
      <c r="R369" s="95">
        <f t="shared" si="5"/>
        <v>1</v>
      </c>
      <c r="S369" s="95">
        <f t="shared" si="6"/>
        <v>0</v>
      </c>
      <c r="T369" s="95">
        <f t="shared" si="7"/>
        <v>0</v>
      </c>
    </row>
    <row r="370">
      <c r="A370" s="96">
        <v>101.0</v>
      </c>
      <c r="B370" s="97">
        <v>44706.0</v>
      </c>
      <c r="C370" s="96">
        <v>10409.0</v>
      </c>
      <c r="D370" s="98" t="s">
        <v>85</v>
      </c>
      <c r="E370" s="98" t="s">
        <v>159</v>
      </c>
      <c r="F370" s="99">
        <v>0.7673611111111112</v>
      </c>
      <c r="G370" s="102"/>
      <c r="H370" s="101"/>
      <c r="I370" s="92" t="str">
        <f>IFERROR(VLOOKUP(D370,'Công T5'!$C$7:$F$89,4,0),"")</f>
        <v>NV</v>
      </c>
      <c r="J370" s="92">
        <f t="shared" si="8"/>
        <v>0.7673611111</v>
      </c>
      <c r="K370" s="92" t="str">
        <f t="shared" si="1"/>
        <v/>
      </c>
      <c r="L370" s="92" t="str">
        <f>IFERROR(VLOOKUP(D370,'Công T5'!$C$7:$F$89,2,0),"")</f>
        <v/>
      </c>
      <c r="M370" s="92" t="str">
        <f>IFERROR(VLOOKUP(D370,'Công T5'!$C$7:$F$89,3,0),"")</f>
        <v/>
      </c>
      <c r="N370" s="92">
        <f t="shared" si="9"/>
        <v>0.7673611111</v>
      </c>
      <c r="O370" s="92" t="str">
        <f t="shared" si="2"/>
        <v/>
      </c>
      <c r="P370" s="94">
        <f t="shared" si="3"/>
        <v>0</v>
      </c>
      <c r="Q370" s="94" t="str">
        <f t="shared" si="4"/>
        <v/>
      </c>
      <c r="R370" s="95">
        <f t="shared" si="5"/>
        <v>0.5</v>
      </c>
      <c r="S370" s="95" t="str">
        <f t="shared" si="6"/>
        <v/>
      </c>
      <c r="T370" s="95">
        <f t="shared" si="7"/>
        <v>1</v>
      </c>
    </row>
    <row r="371">
      <c r="A371" s="96">
        <v>102.0</v>
      </c>
      <c r="B371" s="97">
        <v>44677.0</v>
      </c>
      <c r="C371" s="96">
        <v>10080.0</v>
      </c>
      <c r="D371" s="98" t="s">
        <v>79</v>
      </c>
      <c r="E371" s="98" t="s">
        <v>159</v>
      </c>
      <c r="F371" s="99">
        <v>0.3298611111111111</v>
      </c>
      <c r="G371" s="99">
        <v>0.7152777777777778</v>
      </c>
      <c r="H371" s="101"/>
      <c r="I371" s="92" t="str">
        <f>IFERROR(VLOOKUP(D371,'Công T5'!$C$7:$F$89,4,0),"")</f>
        <v>NV</v>
      </c>
      <c r="J371" s="92">
        <f t="shared" si="8"/>
        <v>0.3298611111</v>
      </c>
      <c r="K371" s="92">
        <f t="shared" si="1"/>
        <v>0.7152777778</v>
      </c>
      <c r="L371" s="92" t="str">
        <f>IFERROR(VLOOKUP(D371,'Công T5'!$C$7:$F$89,2,0),"")</f>
        <v/>
      </c>
      <c r="M371" s="92" t="str">
        <f>IFERROR(VLOOKUP(D371,'Công T5'!$C$7:$F$89,3,0),"")</f>
        <v/>
      </c>
      <c r="N371" s="92">
        <f t="shared" si="9"/>
        <v>0.3333333333</v>
      </c>
      <c r="O371" s="92">
        <f t="shared" si="2"/>
        <v>0.7083333333</v>
      </c>
      <c r="P371" s="94">
        <f t="shared" si="3"/>
        <v>0.5</v>
      </c>
      <c r="Q371" s="94">
        <f t="shared" si="4"/>
        <v>0.5</v>
      </c>
      <c r="R371" s="95">
        <f t="shared" si="5"/>
        <v>1</v>
      </c>
      <c r="S371" s="95">
        <f t="shared" si="6"/>
        <v>0</v>
      </c>
      <c r="T371" s="95">
        <f t="shared" si="7"/>
        <v>0</v>
      </c>
    </row>
    <row r="372">
      <c r="A372" s="96">
        <v>103.0</v>
      </c>
      <c r="B372" s="97">
        <v>44678.0</v>
      </c>
      <c r="C372" s="96">
        <v>10080.0</v>
      </c>
      <c r="D372" s="98" t="s">
        <v>79</v>
      </c>
      <c r="E372" s="98" t="s">
        <v>159</v>
      </c>
      <c r="F372" s="99">
        <v>0.32708333333333334</v>
      </c>
      <c r="G372" s="99">
        <v>0.7145833333333333</v>
      </c>
      <c r="H372" s="101"/>
      <c r="I372" s="92" t="str">
        <f>IFERROR(VLOOKUP(D372,'Công T5'!$C$7:$F$89,4,0),"")</f>
        <v>NV</v>
      </c>
      <c r="J372" s="92">
        <f t="shared" si="8"/>
        <v>0.3270833333</v>
      </c>
      <c r="K372" s="92">
        <f t="shared" si="1"/>
        <v>0.7145833333</v>
      </c>
      <c r="L372" s="92" t="str">
        <f>IFERROR(VLOOKUP(D372,'Công T5'!$C$7:$F$89,2,0),"")</f>
        <v/>
      </c>
      <c r="M372" s="92" t="str">
        <f>IFERROR(VLOOKUP(D372,'Công T5'!$C$7:$F$89,3,0),"")</f>
        <v/>
      </c>
      <c r="N372" s="92">
        <f t="shared" si="9"/>
        <v>0.3333333333</v>
      </c>
      <c r="O372" s="92">
        <f t="shared" si="2"/>
        <v>0.7083333333</v>
      </c>
      <c r="P372" s="94">
        <f t="shared" si="3"/>
        <v>0.5</v>
      </c>
      <c r="Q372" s="94">
        <f t="shared" si="4"/>
        <v>0.5</v>
      </c>
      <c r="R372" s="95">
        <f t="shared" si="5"/>
        <v>1</v>
      </c>
      <c r="S372" s="95">
        <f t="shared" si="6"/>
        <v>0</v>
      </c>
      <c r="T372" s="95">
        <f t="shared" si="7"/>
        <v>0</v>
      </c>
    </row>
    <row r="373">
      <c r="A373" s="96">
        <v>104.0</v>
      </c>
      <c r="B373" s="97">
        <v>44679.0</v>
      </c>
      <c r="C373" s="96">
        <v>10080.0</v>
      </c>
      <c r="D373" s="98" t="s">
        <v>79</v>
      </c>
      <c r="E373" s="98" t="s">
        <v>159</v>
      </c>
      <c r="F373" s="99">
        <v>0.3284722222222222</v>
      </c>
      <c r="G373" s="99">
        <v>0.7263888888888889</v>
      </c>
      <c r="H373" s="101"/>
      <c r="I373" s="92" t="str">
        <f>IFERROR(VLOOKUP(D373,'Công T5'!$C$7:$F$89,4,0),"")</f>
        <v>NV</v>
      </c>
      <c r="J373" s="92">
        <f t="shared" si="8"/>
        <v>0.3284722222</v>
      </c>
      <c r="K373" s="92">
        <f t="shared" si="1"/>
        <v>0.7263888889</v>
      </c>
      <c r="L373" s="92" t="str">
        <f>IFERROR(VLOOKUP(D373,'Công T5'!$C$7:$F$89,2,0),"")</f>
        <v/>
      </c>
      <c r="M373" s="92" t="str">
        <f>IFERROR(VLOOKUP(D373,'Công T5'!$C$7:$F$89,3,0),"")</f>
        <v/>
      </c>
      <c r="N373" s="92">
        <f t="shared" si="9"/>
        <v>0.3333333333</v>
      </c>
      <c r="O373" s="92">
        <f t="shared" si="2"/>
        <v>0.7083333333</v>
      </c>
      <c r="P373" s="94">
        <f t="shared" si="3"/>
        <v>0.5</v>
      </c>
      <c r="Q373" s="94">
        <f t="shared" si="4"/>
        <v>0.5</v>
      </c>
      <c r="R373" s="95">
        <f t="shared" si="5"/>
        <v>1</v>
      </c>
      <c r="S373" s="95">
        <f t="shared" si="6"/>
        <v>0</v>
      </c>
      <c r="T373" s="95">
        <f t="shared" si="7"/>
        <v>0</v>
      </c>
    </row>
    <row r="374">
      <c r="A374" s="96">
        <v>105.0</v>
      </c>
      <c r="B374" s="97">
        <v>44680.0</v>
      </c>
      <c r="C374" s="96">
        <v>10080.0</v>
      </c>
      <c r="D374" s="98" t="s">
        <v>79</v>
      </c>
      <c r="E374" s="98" t="s">
        <v>159</v>
      </c>
      <c r="F374" s="99">
        <v>0.32916666666666666</v>
      </c>
      <c r="G374" s="99">
        <v>0.7222222222222222</v>
      </c>
      <c r="H374" s="101"/>
      <c r="I374" s="92" t="str">
        <f>IFERROR(VLOOKUP(D374,'Công T5'!$C$7:$F$89,4,0),"")</f>
        <v>NV</v>
      </c>
      <c r="J374" s="92">
        <f t="shared" si="8"/>
        <v>0.3291666667</v>
      </c>
      <c r="K374" s="92">
        <f t="shared" si="1"/>
        <v>0.7222222222</v>
      </c>
      <c r="L374" s="92" t="str">
        <f>IFERROR(VLOOKUP(D374,'Công T5'!$C$7:$F$89,2,0),"")</f>
        <v/>
      </c>
      <c r="M374" s="92" t="str">
        <f>IFERROR(VLOOKUP(D374,'Công T5'!$C$7:$F$89,3,0),"")</f>
        <v/>
      </c>
      <c r="N374" s="92">
        <f t="shared" si="9"/>
        <v>0.3333333333</v>
      </c>
      <c r="O374" s="92">
        <f t="shared" si="2"/>
        <v>0.7083333333</v>
      </c>
      <c r="P374" s="94">
        <f t="shared" si="3"/>
        <v>0.5</v>
      </c>
      <c r="Q374" s="94">
        <f t="shared" si="4"/>
        <v>0.5</v>
      </c>
      <c r="R374" s="95">
        <f t="shared" si="5"/>
        <v>1</v>
      </c>
      <c r="S374" s="95">
        <f t="shared" si="6"/>
        <v>0</v>
      </c>
      <c r="T374" s="95">
        <f t="shared" si="7"/>
        <v>0</v>
      </c>
    </row>
    <row r="375">
      <c r="A375" s="96">
        <v>106.0</v>
      </c>
      <c r="B375" s="97">
        <v>44685.0</v>
      </c>
      <c r="C375" s="96">
        <v>10080.0</v>
      </c>
      <c r="D375" s="98" t="s">
        <v>79</v>
      </c>
      <c r="E375" s="98" t="s">
        <v>159</v>
      </c>
      <c r="F375" s="99">
        <v>0.3263888888888889</v>
      </c>
      <c r="G375" s="99">
        <v>0.7194444444444444</v>
      </c>
      <c r="H375" s="101"/>
      <c r="I375" s="92" t="str">
        <f>IFERROR(VLOOKUP(D375,'Công T5'!$C$7:$F$89,4,0),"")</f>
        <v>NV</v>
      </c>
      <c r="J375" s="92">
        <f t="shared" si="8"/>
        <v>0.3263888889</v>
      </c>
      <c r="K375" s="92">
        <f t="shared" si="1"/>
        <v>0.7194444444</v>
      </c>
      <c r="L375" s="92" t="str">
        <f>IFERROR(VLOOKUP(D375,'Công T5'!$C$7:$F$89,2,0),"")</f>
        <v/>
      </c>
      <c r="M375" s="92" t="str">
        <f>IFERROR(VLOOKUP(D375,'Công T5'!$C$7:$F$89,3,0),"")</f>
        <v/>
      </c>
      <c r="N375" s="92">
        <f t="shared" si="9"/>
        <v>0.3333333333</v>
      </c>
      <c r="O375" s="92">
        <f t="shared" si="2"/>
        <v>0.7083333333</v>
      </c>
      <c r="P375" s="94">
        <f t="shared" si="3"/>
        <v>0.5</v>
      </c>
      <c r="Q375" s="94">
        <f t="shared" si="4"/>
        <v>0.5</v>
      </c>
      <c r="R375" s="95">
        <f t="shared" si="5"/>
        <v>1</v>
      </c>
      <c r="S375" s="95">
        <f t="shared" si="6"/>
        <v>0</v>
      </c>
      <c r="T375" s="95">
        <f t="shared" si="7"/>
        <v>0</v>
      </c>
    </row>
    <row r="376">
      <c r="A376" s="96">
        <v>107.0</v>
      </c>
      <c r="B376" s="103">
        <v>44686.0</v>
      </c>
      <c r="C376" s="96">
        <v>10080.0</v>
      </c>
      <c r="D376" s="98" t="s">
        <v>79</v>
      </c>
      <c r="E376" s="98" t="s">
        <v>159</v>
      </c>
      <c r="F376" s="99">
        <v>0.3326388888888889</v>
      </c>
      <c r="G376" s="99">
        <v>0.7284722222222222</v>
      </c>
      <c r="H376" s="101"/>
      <c r="I376" s="92" t="str">
        <f>IFERROR(VLOOKUP(D376,'Công T5'!$C$7:$F$89,4,0),"")</f>
        <v>NV</v>
      </c>
      <c r="J376" s="92">
        <f t="shared" si="8"/>
        <v>0.3326388889</v>
      </c>
      <c r="K376" s="92">
        <f t="shared" si="1"/>
        <v>0.7284722222</v>
      </c>
      <c r="L376" s="92" t="str">
        <f>IFERROR(VLOOKUP(D376,'Công T5'!$C$7:$F$89,2,0),"")</f>
        <v/>
      </c>
      <c r="M376" s="92" t="str">
        <f>IFERROR(VLOOKUP(D376,'Công T5'!$C$7:$F$89,3,0),"")</f>
        <v/>
      </c>
      <c r="N376" s="92">
        <f t="shared" si="9"/>
        <v>0.3333333333</v>
      </c>
      <c r="O376" s="92">
        <f t="shared" si="2"/>
        <v>0.7083333333</v>
      </c>
      <c r="P376" s="94">
        <f t="shared" si="3"/>
        <v>0.5</v>
      </c>
      <c r="Q376" s="94">
        <f t="shared" si="4"/>
        <v>0.5</v>
      </c>
      <c r="R376" s="95">
        <f t="shared" si="5"/>
        <v>1</v>
      </c>
      <c r="S376" s="95">
        <f t="shared" si="6"/>
        <v>0</v>
      </c>
      <c r="T376" s="95">
        <f t="shared" si="7"/>
        <v>0</v>
      </c>
    </row>
    <row r="377">
      <c r="A377" s="96">
        <v>108.0</v>
      </c>
      <c r="B377" s="97">
        <v>44687.0</v>
      </c>
      <c r="C377" s="96">
        <v>10080.0</v>
      </c>
      <c r="D377" s="98" t="s">
        <v>79</v>
      </c>
      <c r="E377" s="98" t="s">
        <v>159</v>
      </c>
      <c r="F377" s="99">
        <v>0.32916666666666666</v>
      </c>
      <c r="G377" s="99">
        <v>0.7263888888888889</v>
      </c>
      <c r="H377" s="101"/>
      <c r="I377" s="92" t="str">
        <f>IFERROR(VLOOKUP(D377,'Công T5'!$C$7:$F$89,4,0),"")</f>
        <v>NV</v>
      </c>
      <c r="J377" s="92">
        <f t="shared" si="8"/>
        <v>0.3291666667</v>
      </c>
      <c r="K377" s="92">
        <f t="shared" si="1"/>
        <v>0.7263888889</v>
      </c>
      <c r="L377" s="92" t="str">
        <f>IFERROR(VLOOKUP(D377,'Công T5'!$C$7:$F$89,2,0),"")</f>
        <v/>
      </c>
      <c r="M377" s="92" t="str">
        <f>IFERROR(VLOOKUP(D377,'Công T5'!$C$7:$F$89,3,0),"")</f>
        <v/>
      </c>
      <c r="N377" s="92">
        <f t="shared" si="9"/>
        <v>0.3333333333</v>
      </c>
      <c r="O377" s="92">
        <f t="shared" si="2"/>
        <v>0.7083333333</v>
      </c>
      <c r="P377" s="94">
        <f t="shared" si="3"/>
        <v>0.5</v>
      </c>
      <c r="Q377" s="94">
        <f t="shared" si="4"/>
        <v>0.5</v>
      </c>
      <c r="R377" s="95">
        <f t="shared" si="5"/>
        <v>1</v>
      </c>
      <c r="S377" s="95">
        <f t="shared" si="6"/>
        <v>0</v>
      </c>
      <c r="T377" s="95">
        <f t="shared" si="7"/>
        <v>0</v>
      </c>
    </row>
    <row r="378">
      <c r="A378" s="96">
        <v>109.0</v>
      </c>
      <c r="B378" s="97">
        <v>44688.0</v>
      </c>
      <c r="C378" s="96">
        <v>10080.0</v>
      </c>
      <c r="D378" s="98" t="s">
        <v>79</v>
      </c>
      <c r="E378" s="98" t="s">
        <v>159</v>
      </c>
      <c r="F378" s="99">
        <v>0.3298611111111111</v>
      </c>
      <c r="G378" s="99">
        <v>0.7201388888888889</v>
      </c>
      <c r="H378" s="101"/>
      <c r="I378" s="92" t="str">
        <f>IFERROR(VLOOKUP(D378,'Công T5'!$C$7:$F$89,4,0),"")</f>
        <v>NV</v>
      </c>
      <c r="J378" s="92">
        <f t="shared" si="8"/>
        <v>0.3298611111</v>
      </c>
      <c r="K378" s="92">
        <f t="shared" si="1"/>
        <v>0.7201388889</v>
      </c>
      <c r="L378" s="92" t="str">
        <f>IFERROR(VLOOKUP(D378,'Công T5'!$C$7:$F$89,2,0),"")</f>
        <v/>
      </c>
      <c r="M378" s="92" t="str">
        <f>IFERROR(VLOOKUP(D378,'Công T5'!$C$7:$F$89,3,0),"")</f>
        <v/>
      </c>
      <c r="N378" s="92">
        <f t="shared" si="9"/>
        <v>0.3333333333</v>
      </c>
      <c r="O378" s="92">
        <f t="shared" si="2"/>
        <v>0.7083333333</v>
      </c>
      <c r="P378" s="94">
        <f t="shared" si="3"/>
        <v>0.5</v>
      </c>
      <c r="Q378" s="94">
        <f t="shared" si="4"/>
        <v>0.5</v>
      </c>
      <c r="R378" s="95">
        <f t="shared" si="5"/>
        <v>1</v>
      </c>
      <c r="S378" s="95">
        <f t="shared" si="6"/>
        <v>0</v>
      </c>
      <c r="T378" s="95">
        <f t="shared" si="7"/>
        <v>0</v>
      </c>
    </row>
    <row r="379">
      <c r="A379" s="96">
        <v>110.0</v>
      </c>
      <c r="B379" s="97">
        <v>44690.0</v>
      </c>
      <c r="C379" s="96">
        <v>10080.0</v>
      </c>
      <c r="D379" s="98" t="s">
        <v>79</v>
      </c>
      <c r="E379" s="98" t="s">
        <v>159</v>
      </c>
      <c r="F379" s="99">
        <v>0.33055555555555555</v>
      </c>
      <c r="G379" s="99">
        <v>0.7243055555555555</v>
      </c>
      <c r="H379" s="101"/>
      <c r="I379" s="92" t="str">
        <f>IFERROR(VLOOKUP(D379,'Công T5'!$C$7:$F$89,4,0),"")</f>
        <v>NV</v>
      </c>
      <c r="J379" s="92">
        <f t="shared" si="8"/>
        <v>0.3305555556</v>
      </c>
      <c r="K379" s="92">
        <f t="shared" si="1"/>
        <v>0.7243055556</v>
      </c>
      <c r="L379" s="92" t="str">
        <f>IFERROR(VLOOKUP(D379,'Công T5'!$C$7:$F$89,2,0),"")</f>
        <v/>
      </c>
      <c r="M379" s="92" t="str">
        <f>IFERROR(VLOOKUP(D379,'Công T5'!$C$7:$F$89,3,0),"")</f>
        <v/>
      </c>
      <c r="N379" s="92">
        <f t="shared" si="9"/>
        <v>0.3333333333</v>
      </c>
      <c r="O379" s="92">
        <f t="shared" si="2"/>
        <v>0.7083333333</v>
      </c>
      <c r="P379" s="94">
        <f t="shared" si="3"/>
        <v>0.5</v>
      </c>
      <c r="Q379" s="94">
        <f t="shared" si="4"/>
        <v>0.5</v>
      </c>
      <c r="R379" s="95">
        <f t="shared" si="5"/>
        <v>1</v>
      </c>
      <c r="S379" s="95">
        <f t="shared" si="6"/>
        <v>0</v>
      </c>
      <c r="T379" s="95">
        <f t="shared" si="7"/>
        <v>0</v>
      </c>
    </row>
    <row r="380">
      <c r="A380" s="96">
        <v>111.0</v>
      </c>
      <c r="B380" s="97">
        <v>44691.0</v>
      </c>
      <c r="C380" s="96">
        <v>10080.0</v>
      </c>
      <c r="D380" s="98" t="s">
        <v>79</v>
      </c>
      <c r="E380" s="98" t="s">
        <v>159</v>
      </c>
      <c r="F380" s="99">
        <v>0.3298611111111111</v>
      </c>
      <c r="G380" s="99">
        <v>0.7208333333333333</v>
      </c>
      <c r="H380" s="101"/>
      <c r="I380" s="92" t="str">
        <f>IFERROR(VLOOKUP(D380,'Công T5'!$C$7:$F$89,4,0),"")</f>
        <v>NV</v>
      </c>
      <c r="J380" s="92">
        <f t="shared" si="8"/>
        <v>0.3298611111</v>
      </c>
      <c r="K380" s="92">
        <f t="shared" si="1"/>
        <v>0.7208333333</v>
      </c>
      <c r="L380" s="92" t="str">
        <f>IFERROR(VLOOKUP(D380,'Công T5'!$C$7:$F$89,2,0),"")</f>
        <v/>
      </c>
      <c r="M380" s="92" t="str">
        <f>IFERROR(VLOOKUP(D380,'Công T5'!$C$7:$F$89,3,0),"")</f>
        <v/>
      </c>
      <c r="N380" s="92">
        <f t="shared" si="9"/>
        <v>0.3333333333</v>
      </c>
      <c r="O380" s="92">
        <f t="shared" si="2"/>
        <v>0.7083333333</v>
      </c>
      <c r="P380" s="94">
        <f t="shared" si="3"/>
        <v>0.5</v>
      </c>
      <c r="Q380" s="94">
        <f t="shared" si="4"/>
        <v>0.5</v>
      </c>
      <c r="R380" s="95">
        <f t="shared" si="5"/>
        <v>1</v>
      </c>
      <c r="S380" s="95">
        <f t="shared" si="6"/>
        <v>0</v>
      </c>
      <c r="T380" s="95">
        <f t="shared" si="7"/>
        <v>0</v>
      </c>
    </row>
    <row r="381">
      <c r="A381" s="96">
        <v>112.0</v>
      </c>
      <c r="B381" s="97">
        <v>44692.0</v>
      </c>
      <c r="C381" s="96">
        <v>10080.0</v>
      </c>
      <c r="D381" s="98" t="s">
        <v>79</v>
      </c>
      <c r="E381" s="98" t="s">
        <v>159</v>
      </c>
      <c r="F381" s="99">
        <v>0.5388888888888889</v>
      </c>
      <c r="G381" s="99">
        <v>0.7284722222222222</v>
      </c>
      <c r="H381" s="101"/>
      <c r="I381" s="92" t="str">
        <f>IFERROR(VLOOKUP(D381,'Công T5'!$C$7:$F$89,4,0),"")</f>
        <v>NV</v>
      </c>
      <c r="J381" s="92">
        <f t="shared" si="8"/>
        <v>0.5388888889</v>
      </c>
      <c r="K381" s="92">
        <f t="shared" si="1"/>
        <v>0.7284722222</v>
      </c>
      <c r="L381" s="92" t="str">
        <f>IFERROR(VLOOKUP(D381,'Công T5'!$C$7:$F$89,2,0),"")</f>
        <v/>
      </c>
      <c r="M381" s="92" t="str">
        <f>IFERROR(VLOOKUP(D381,'Công T5'!$C$7:$F$89,3,0),"")</f>
        <v/>
      </c>
      <c r="N381" s="92">
        <f t="shared" si="9"/>
        <v>0.5416666667</v>
      </c>
      <c r="O381" s="92">
        <f t="shared" si="2"/>
        <v>0.7083333333</v>
      </c>
      <c r="P381" s="94">
        <f t="shared" si="3"/>
        <v>0</v>
      </c>
      <c r="Q381" s="94">
        <f t="shared" si="4"/>
        <v>0.5</v>
      </c>
      <c r="R381" s="95">
        <f t="shared" si="5"/>
        <v>0.5</v>
      </c>
      <c r="S381" s="95">
        <f t="shared" si="6"/>
        <v>1</v>
      </c>
      <c r="T381" s="95">
        <f t="shared" si="7"/>
        <v>0</v>
      </c>
    </row>
    <row r="382">
      <c r="A382" s="96">
        <v>113.0</v>
      </c>
      <c r="B382" s="97">
        <v>44693.0</v>
      </c>
      <c r="C382" s="96">
        <v>10080.0</v>
      </c>
      <c r="D382" s="98" t="s">
        <v>79</v>
      </c>
      <c r="E382" s="98" t="s">
        <v>159</v>
      </c>
      <c r="F382" s="99">
        <v>0.3298611111111111</v>
      </c>
      <c r="G382" s="99">
        <v>0.7194444444444444</v>
      </c>
      <c r="H382" s="101"/>
      <c r="I382" s="92" t="str">
        <f>IFERROR(VLOOKUP(D382,'Công T5'!$C$7:$F$89,4,0),"")</f>
        <v>NV</v>
      </c>
      <c r="J382" s="92">
        <f t="shared" si="8"/>
        <v>0.3298611111</v>
      </c>
      <c r="K382" s="92">
        <f t="shared" si="1"/>
        <v>0.7194444444</v>
      </c>
      <c r="L382" s="92" t="str">
        <f>IFERROR(VLOOKUP(D382,'Công T5'!$C$7:$F$89,2,0),"")</f>
        <v/>
      </c>
      <c r="M382" s="92" t="str">
        <f>IFERROR(VLOOKUP(D382,'Công T5'!$C$7:$F$89,3,0),"")</f>
        <v/>
      </c>
      <c r="N382" s="92">
        <f t="shared" si="9"/>
        <v>0.3333333333</v>
      </c>
      <c r="O382" s="92">
        <f t="shared" si="2"/>
        <v>0.7083333333</v>
      </c>
      <c r="P382" s="94">
        <f t="shared" si="3"/>
        <v>0.5</v>
      </c>
      <c r="Q382" s="94">
        <f t="shared" si="4"/>
        <v>0.5</v>
      </c>
      <c r="R382" s="95">
        <f t="shared" si="5"/>
        <v>1</v>
      </c>
      <c r="S382" s="95">
        <f t="shared" si="6"/>
        <v>0</v>
      </c>
      <c r="T382" s="95">
        <f t="shared" si="7"/>
        <v>0</v>
      </c>
    </row>
    <row r="383">
      <c r="A383" s="96">
        <v>114.0</v>
      </c>
      <c r="B383" s="97">
        <v>44694.0</v>
      </c>
      <c r="C383" s="96">
        <v>10080.0</v>
      </c>
      <c r="D383" s="98" t="s">
        <v>79</v>
      </c>
      <c r="E383" s="98" t="s">
        <v>159</v>
      </c>
      <c r="F383" s="99">
        <v>0.3347222222222222</v>
      </c>
      <c r="G383" s="99">
        <v>0.7277777777777777</v>
      </c>
      <c r="H383" s="101"/>
      <c r="I383" s="92" t="str">
        <f>IFERROR(VLOOKUP(D383,'Công T5'!$C$7:$F$89,4,0),"")</f>
        <v>NV</v>
      </c>
      <c r="J383" s="92">
        <f t="shared" si="8"/>
        <v>0.3347222222</v>
      </c>
      <c r="K383" s="92">
        <f t="shared" si="1"/>
        <v>0.7277777778</v>
      </c>
      <c r="L383" s="92" t="str">
        <f>IFERROR(VLOOKUP(D383,'Công T5'!$C$7:$F$89,2,0),"")</f>
        <v/>
      </c>
      <c r="M383" s="92" t="str">
        <f>IFERROR(VLOOKUP(D383,'Công T5'!$C$7:$F$89,3,0),"")</f>
        <v/>
      </c>
      <c r="N383" s="92">
        <f t="shared" si="9"/>
        <v>0.3333333333</v>
      </c>
      <c r="O383" s="92">
        <f t="shared" si="2"/>
        <v>0.7083333333</v>
      </c>
      <c r="P383" s="94">
        <f t="shared" si="3"/>
        <v>0.5</v>
      </c>
      <c r="Q383" s="94">
        <f t="shared" si="4"/>
        <v>0.5</v>
      </c>
      <c r="R383" s="95">
        <f t="shared" si="5"/>
        <v>1</v>
      </c>
      <c r="S383" s="95">
        <f t="shared" si="6"/>
        <v>1</v>
      </c>
      <c r="T383" s="95">
        <f t="shared" si="7"/>
        <v>0</v>
      </c>
    </row>
    <row r="384">
      <c r="A384" s="96">
        <v>115.0</v>
      </c>
      <c r="B384" s="97">
        <v>44697.0</v>
      </c>
      <c r="C384" s="96">
        <v>10080.0</v>
      </c>
      <c r="D384" s="98" t="s">
        <v>79</v>
      </c>
      <c r="E384" s="98" t="s">
        <v>159</v>
      </c>
      <c r="F384" s="99">
        <v>0.33125</v>
      </c>
      <c r="G384" s="99">
        <v>0.7333333333333333</v>
      </c>
      <c r="H384" s="101"/>
      <c r="I384" s="92" t="str">
        <f>IFERROR(VLOOKUP(D384,'Công T5'!$C$7:$F$89,4,0),"")</f>
        <v>NV</v>
      </c>
      <c r="J384" s="92">
        <f t="shared" si="8"/>
        <v>0.33125</v>
      </c>
      <c r="K384" s="92">
        <f t="shared" si="1"/>
        <v>0.7333333333</v>
      </c>
      <c r="L384" s="92" t="str">
        <f>IFERROR(VLOOKUP(D384,'Công T5'!$C$7:$F$89,2,0),"")</f>
        <v/>
      </c>
      <c r="M384" s="92" t="str">
        <f>IFERROR(VLOOKUP(D384,'Công T5'!$C$7:$F$89,3,0),"")</f>
        <v/>
      </c>
      <c r="N384" s="92">
        <f t="shared" si="9"/>
        <v>0.3333333333</v>
      </c>
      <c r="O384" s="92">
        <f t="shared" si="2"/>
        <v>0.7083333333</v>
      </c>
      <c r="P384" s="94">
        <f t="shared" si="3"/>
        <v>0.5</v>
      </c>
      <c r="Q384" s="94">
        <f t="shared" si="4"/>
        <v>0.5</v>
      </c>
      <c r="R384" s="95">
        <f t="shared" si="5"/>
        <v>1</v>
      </c>
      <c r="S384" s="95">
        <f t="shared" si="6"/>
        <v>0</v>
      </c>
      <c r="T384" s="95">
        <f t="shared" si="7"/>
        <v>0</v>
      </c>
    </row>
    <row r="385">
      <c r="A385" s="96">
        <v>116.0</v>
      </c>
      <c r="B385" s="103">
        <v>44698.0</v>
      </c>
      <c r="C385" s="96">
        <v>10080.0</v>
      </c>
      <c r="D385" s="98" t="s">
        <v>79</v>
      </c>
      <c r="E385" s="98" t="s">
        <v>159</v>
      </c>
      <c r="F385" s="99">
        <v>0.3347222222222222</v>
      </c>
      <c r="G385" s="99">
        <v>0.7208333333333333</v>
      </c>
      <c r="H385" s="101"/>
      <c r="I385" s="92" t="str">
        <f>IFERROR(VLOOKUP(D385,'Công T5'!$C$7:$F$89,4,0),"")</f>
        <v>NV</v>
      </c>
      <c r="J385" s="92">
        <f t="shared" si="8"/>
        <v>0.3347222222</v>
      </c>
      <c r="K385" s="92">
        <f t="shared" si="1"/>
        <v>0.7208333333</v>
      </c>
      <c r="L385" s="92" t="str">
        <f>IFERROR(VLOOKUP(D385,'Công T5'!$C$7:$F$89,2,0),"")</f>
        <v/>
      </c>
      <c r="M385" s="92" t="str">
        <f>IFERROR(VLOOKUP(D385,'Công T5'!$C$7:$F$89,3,0),"")</f>
        <v/>
      </c>
      <c r="N385" s="92">
        <f t="shared" si="9"/>
        <v>0.3333333333</v>
      </c>
      <c r="O385" s="92">
        <f t="shared" si="2"/>
        <v>0.7083333333</v>
      </c>
      <c r="P385" s="94">
        <f t="shared" si="3"/>
        <v>0.5</v>
      </c>
      <c r="Q385" s="94">
        <f t="shared" si="4"/>
        <v>0.5</v>
      </c>
      <c r="R385" s="95">
        <f t="shared" si="5"/>
        <v>1</v>
      </c>
      <c r="S385" s="95">
        <f t="shared" si="6"/>
        <v>1</v>
      </c>
      <c r="T385" s="95">
        <f t="shared" si="7"/>
        <v>0</v>
      </c>
    </row>
    <row r="386">
      <c r="A386" s="96">
        <v>117.0</v>
      </c>
      <c r="B386" s="97">
        <v>44699.0</v>
      </c>
      <c r="C386" s="96">
        <v>10080.0</v>
      </c>
      <c r="D386" s="98" t="s">
        <v>79</v>
      </c>
      <c r="E386" s="98" t="s">
        <v>159</v>
      </c>
      <c r="F386" s="99">
        <v>0.33125</v>
      </c>
      <c r="G386" s="99">
        <v>0.7173611111111111</v>
      </c>
      <c r="H386" s="101"/>
      <c r="I386" s="92" t="str">
        <f>IFERROR(VLOOKUP(D386,'Công T5'!$C$7:$F$89,4,0),"")</f>
        <v>NV</v>
      </c>
      <c r="J386" s="92">
        <f t="shared" si="8"/>
        <v>0.33125</v>
      </c>
      <c r="K386" s="92">
        <f t="shared" si="1"/>
        <v>0.7173611111</v>
      </c>
      <c r="L386" s="92" t="str">
        <f>IFERROR(VLOOKUP(D386,'Công T5'!$C$7:$F$89,2,0),"")</f>
        <v/>
      </c>
      <c r="M386" s="92" t="str">
        <f>IFERROR(VLOOKUP(D386,'Công T5'!$C$7:$F$89,3,0),"")</f>
        <v/>
      </c>
      <c r="N386" s="92">
        <f t="shared" si="9"/>
        <v>0.3333333333</v>
      </c>
      <c r="O386" s="92">
        <f t="shared" si="2"/>
        <v>0.7083333333</v>
      </c>
      <c r="P386" s="94">
        <f t="shared" si="3"/>
        <v>0.5</v>
      </c>
      <c r="Q386" s="94">
        <f t="shared" si="4"/>
        <v>0.5</v>
      </c>
      <c r="R386" s="95">
        <f t="shared" si="5"/>
        <v>1</v>
      </c>
      <c r="S386" s="95">
        <f t="shared" si="6"/>
        <v>0</v>
      </c>
      <c r="T386" s="95">
        <f t="shared" si="7"/>
        <v>0</v>
      </c>
    </row>
    <row r="387">
      <c r="A387" s="96">
        <v>118.0</v>
      </c>
      <c r="B387" s="97">
        <v>44700.0</v>
      </c>
      <c r="C387" s="96">
        <v>10080.0</v>
      </c>
      <c r="D387" s="98" t="s">
        <v>79</v>
      </c>
      <c r="E387" s="98" t="s">
        <v>159</v>
      </c>
      <c r="F387" s="99">
        <v>0.3333333333333333</v>
      </c>
      <c r="G387" s="99">
        <v>0.7236111111111111</v>
      </c>
      <c r="H387" s="101"/>
      <c r="I387" s="92" t="str">
        <f>IFERROR(VLOOKUP(D387,'Công T5'!$C$7:$F$89,4,0),"")</f>
        <v>NV</v>
      </c>
      <c r="J387" s="92">
        <f t="shared" si="8"/>
        <v>0.3333333333</v>
      </c>
      <c r="K387" s="92">
        <f t="shared" si="1"/>
        <v>0.7236111111</v>
      </c>
      <c r="L387" s="92" t="str">
        <f>IFERROR(VLOOKUP(D387,'Công T5'!$C$7:$F$89,2,0),"")</f>
        <v/>
      </c>
      <c r="M387" s="92" t="str">
        <f>IFERROR(VLOOKUP(D387,'Công T5'!$C$7:$F$89,3,0),"")</f>
        <v/>
      </c>
      <c r="N387" s="92">
        <f t="shared" si="9"/>
        <v>0.3333333333</v>
      </c>
      <c r="O387" s="92">
        <f t="shared" si="2"/>
        <v>0.7083333333</v>
      </c>
      <c r="P387" s="94">
        <f t="shared" si="3"/>
        <v>0.5</v>
      </c>
      <c r="Q387" s="94">
        <f t="shared" si="4"/>
        <v>0.5</v>
      </c>
      <c r="R387" s="95">
        <f t="shared" si="5"/>
        <v>1</v>
      </c>
      <c r="S387" s="95">
        <f t="shared" si="6"/>
        <v>0</v>
      </c>
      <c r="T387" s="95">
        <f t="shared" si="7"/>
        <v>0</v>
      </c>
    </row>
    <row r="388">
      <c r="A388" s="96">
        <v>119.0</v>
      </c>
      <c r="B388" s="97">
        <v>44701.0</v>
      </c>
      <c r="C388" s="96">
        <v>10080.0</v>
      </c>
      <c r="D388" s="98" t="s">
        <v>79</v>
      </c>
      <c r="E388" s="98" t="s">
        <v>159</v>
      </c>
      <c r="F388" s="99">
        <v>0.3298611111111111</v>
      </c>
      <c r="G388" s="99">
        <v>0.7152777777777778</v>
      </c>
      <c r="H388" s="101"/>
      <c r="I388" s="92" t="str">
        <f>IFERROR(VLOOKUP(D388,'Công T5'!$C$7:$F$89,4,0),"")</f>
        <v>NV</v>
      </c>
      <c r="J388" s="92">
        <f t="shared" si="8"/>
        <v>0.3298611111</v>
      </c>
      <c r="K388" s="92">
        <f t="shared" si="1"/>
        <v>0.7152777778</v>
      </c>
      <c r="L388" s="92" t="str">
        <f>IFERROR(VLOOKUP(D388,'Công T5'!$C$7:$F$89,2,0),"")</f>
        <v/>
      </c>
      <c r="M388" s="92" t="str">
        <f>IFERROR(VLOOKUP(D388,'Công T5'!$C$7:$F$89,3,0),"")</f>
        <v/>
      </c>
      <c r="N388" s="92">
        <f t="shared" si="9"/>
        <v>0.3333333333</v>
      </c>
      <c r="O388" s="92">
        <f t="shared" si="2"/>
        <v>0.7083333333</v>
      </c>
      <c r="P388" s="94">
        <f t="shared" si="3"/>
        <v>0.5</v>
      </c>
      <c r="Q388" s="94">
        <f t="shared" si="4"/>
        <v>0.5</v>
      </c>
      <c r="R388" s="95">
        <f t="shared" si="5"/>
        <v>1</v>
      </c>
      <c r="S388" s="95">
        <f t="shared" si="6"/>
        <v>0</v>
      </c>
      <c r="T388" s="95">
        <f t="shared" si="7"/>
        <v>0</v>
      </c>
    </row>
    <row r="389">
      <c r="A389" s="96">
        <v>120.0</v>
      </c>
      <c r="B389" s="97">
        <v>44702.0</v>
      </c>
      <c r="C389" s="96">
        <v>10080.0</v>
      </c>
      <c r="D389" s="98" t="s">
        <v>79</v>
      </c>
      <c r="E389" s="98" t="s">
        <v>159</v>
      </c>
      <c r="F389" s="99">
        <v>0.3263888888888889</v>
      </c>
      <c r="G389" s="99">
        <v>0.7333333333333333</v>
      </c>
      <c r="H389" s="101"/>
      <c r="I389" s="92" t="str">
        <f>IFERROR(VLOOKUP(D389,'Công T5'!$C$7:$F$89,4,0),"")</f>
        <v>NV</v>
      </c>
      <c r="J389" s="92">
        <f t="shared" si="8"/>
        <v>0.3263888889</v>
      </c>
      <c r="K389" s="92">
        <f t="shared" si="1"/>
        <v>0.7333333333</v>
      </c>
      <c r="L389" s="92" t="str">
        <f>IFERROR(VLOOKUP(D389,'Công T5'!$C$7:$F$89,2,0),"")</f>
        <v/>
      </c>
      <c r="M389" s="92" t="str">
        <f>IFERROR(VLOOKUP(D389,'Công T5'!$C$7:$F$89,3,0),"")</f>
        <v/>
      </c>
      <c r="N389" s="92">
        <f t="shared" si="9"/>
        <v>0.3333333333</v>
      </c>
      <c r="O389" s="92">
        <f t="shared" si="2"/>
        <v>0.7083333333</v>
      </c>
      <c r="P389" s="94">
        <f t="shared" si="3"/>
        <v>0.5</v>
      </c>
      <c r="Q389" s="94">
        <f t="shared" si="4"/>
        <v>0.5</v>
      </c>
      <c r="R389" s="95">
        <f t="shared" si="5"/>
        <v>1</v>
      </c>
      <c r="S389" s="95">
        <f t="shared" si="6"/>
        <v>0</v>
      </c>
      <c r="T389" s="95">
        <f t="shared" si="7"/>
        <v>0</v>
      </c>
    </row>
    <row r="390">
      <c r="A390" s="96">
        <v>121.0</v>
      </c>
      <c r="B390" s="97">
        <v>44704.0</v>
      </c>
      <c r="C390" s="96">
        <v>10080.0</v>
      </c>
      <c r="D390" s="98" t="s">
        <v>79</v>
      </c>
      <c r="E390" s="98" t="s">
        <v>159</v>
      </c>
      <c r="F390" s="99">
        <v>0.34375</v>
      </c>
      <c r="G390" s="99">
        <v>0.7263888888888889</v>
      </c>
      <c r="H390" s="101"/>
      <c r="I390" s="92" t="str">
        <f>IFERROR(VLOOKUP(D390,'Công T5'!$C$7:$F$89,4,0),"")</f>
        <v>NV</v>
      </c>
      <c r="J390" s="92">
        <f t="shared" si="8"/>
        <v>0.34375</v>
      </c>
      <c r="K390" s="92">
        <f t="shared" si="1"/>
        <v>0.7263888889</v>
      </c>
      <c r="L390" s="92" t="str">
        <f>IFERROR(VLOOKUP(D390,'Công T5'!$C$7:$F$89,2,0),"")</f>
        <v/>
      </c>
      <c r="M390" s="92" t="str">
        <f>IFERROR(VLOOKUP(D390,'Công T5'!$C$7:$F$89,3,0),"")</f>
        <v/>
      </c>
      <c r="N390" s="92">
        <f t="shared" si="9"/>
        <v>0.3333333333</v>
      </c>
      <c r="O390" s="92">
        <f t="shared" si="2"/>
        <v>0.7083333333</v>
      </c>
      <c r="P390" s="94">
        <f t="shared" si="3"/>
        <v>0.5</v>
      </c>
      <c r="Q390" s="94">
        <f t="shared" si="4"/>
        <v>0.5</v>
      </c>
      <c r="R390" s="95">
        <f t="shared" si="5"/>
        <v>1</v>
      </c>
      <c r="S390" s="95">
        <f t="shared" si="6"/>
        <v>1</v>
      </c>
      <c r="T390" s="95">
        <f t="shared" si="7"/>
        <v>0</v>
      </c>
    </row>
    <row r="391">
      <c r="A391" s="96">
        <v>122.0</v>
      </c>
      <c r="B391" s="97">
        <v>44705.0</v>
      </c>
      <c r="C391" s="96">
        <v>10080.0</v>
      </c>
      <c r="D391" s="98" t="s">
        <v>79</v>
      </c>
      <c r="E391" s="98" t="s">
        <v>159</v>
      </c>
      <c r="F391" s="99">
        <v>0.33125</v>
      </c>
      <c r="G391" s="99">
        <v>0.7236111111111111</v>
      </c>
      <c r="H391" s="101"/>
      <c r="I391" s="92" t="str">
        <f>IFERROR(VLOOKUP(D391,'Công T5'!$C$7:$F$89,4,0),"")</f>
        <v>NV</v>
      </c>
      <c r="J391" s="92">
        <f t="shared" si="8"/>
        <v>0.33125</v>
      </c>
      <c r="K391" s="92">
        <f t="shared" si="1"/>
        <v>0.7236111111</v>
      </c>
      <c r="L391" s="92" t="str">
        <f>IFERROR(VLOOKUP(D391,'Công T5'!$C$7:$F$89,2,0),"")</f>
        <v/>
      </c>
      <c r="M391" s="92" t="str">
        <f>IFERROR(VLOOKUP(D391,'Công T5'!$C$7:$F$89,3,0),"")</f>
        <v/>
      </c>
      <c r="N391" s="92">
        <f t="shared" si="9"/>
        <v>0.3333333333</v>
      </c>
      <c r="O391" s="92">
        <f t="shared" si="2"/>
        <v>0.7083333333</v>
      </c>
      <c r="P391" s="94">
        <f t="shared" si="3"/>
        <v>0.5</v>
      </c>
      <c r="Q391" s="94">
        <f t="shared" si="4"/>
        <v>0.5</v>
      </c>
      <c r="R391" s="95">
        <f t="shared" si="5"/>
        <v>1</v>
      </c>
      <c r="S391" s="95">
        <f t="shared" si="6"/>
        <v>0</v>
      </c>
      <c r="T391" s="95">
        <f t="shared" si="7"/>
        <v>0</v>
      </c>
    </row>
    <row r="392">
      <c r="A392" s="96">
        <v>123.0</v>
      </c>
      <c r="B392" s="97">
        <v>44706.0</v>
      </c>
      <c r="C392" s="96">
        <v>10080.0</v>
      </c>
      <c r="D392" s="98" t="s">
        <v>79</v>
      </c>
      <c r="E392" s="98" t="s">
        <v>159</v>
      </c>
      <c r="F392" s="99">
        <v>0.3326388888888889</v>
      </c>
      <c r="G392" s="99">
        <v>0.7208333333333333</v>
      </c>
      <c r="H392" s="101"/>
      <c r="I392" s="92" t="str">
        <f>IFERROR(VLOOKUP(D392,'Công T5'!$C$7:$F$89,4,0),"")</f>
        <v>NV</v>
      </c>
      <c r="J392" s="92">
        <f t="shared" si="8"/>
        <v>0.3326388889</v>
      </c>
      <c r="K392" s="92">
        <f t="shared" si="1"/>
        <v>0.7208333333</v>
      </c>
      <c r="L392" s="92" t="str">
        <f>IFERROR(VLOOKUP(D392,'Công T5'!$C$7:$F$89,2,0),"")</f>
        <v/>
      </c>
      <c r="M392" s="92" t="str">
        <f>IFERROR(VLOOKUP(D392,'Công T5'!$C$7:$F$89,3,0),"")</f>
        <v/>
      </c>
      <c r="N392" s="92">
        <f t="shared" si="9"/>
        <v>0.3333333333</v>
      </c>
      <c r="O392" s="92">
        <f t="shared" si="2"/>
        <v>0.7083333333</v>
      </c>
      <c r="P392" s="94">
        <f t="shared" si="3"/>
        <v>0.5</v>
      </c>
      <c r="Q392" s="94">
        <f t="shared" si="4"/>
        <v>0.5</v>
      </c>
      <c r="R392" s="95">
        <f t="shared" si="5"/>
        <v>1</v>
      </c>
      <c r="S392" s="95">
        <f t="shared" si="6"/>
        <v>0</v>
      </c>
      <c r="T392" s="95">
        <f t="shared" si="7"/>
        <v>0</v>
      </c>
    </row>
    <row r="393">
      <c r="A393" s="96">
        <v>124.0</v>
      </c>
      <c r="B393" s="97">
        <v>44677.0</v>
      </c>
      <c r="C393" s="96">
        <v>10085.0</v>
      </c>
      <c r="D393" s="98" t="s">
        <v>74</v>
      </c>
      <c r="E393" s="98" t="s">
        <v>160</v>
      </c>
      <c r="F393" s="99">
        <v>0.3277777777777778</v>
      </c>
      <c r="G393" s="99">
        <v>0.7895833333333333</v>
      </c>
      <c r="H393" s="101"/>
      <c r="I393" s="92" t="str">
        <f>IFERROR(VLOOKUP(D393,'Công T5'!$C$7:$F$89,4,0),"")</f>
        <v>NV</v>
      </c>
      <c r="J393" s="92">
        <f t="shared" si="8"/>
        <v>0.3277777778</v>
      </c>
      <c r="K393" s="92">
        <f t="shared" si="1"/>
        <v>0.7895833333</v>
      </c>
      <c r="L393" s="92" t="str">
        <f>IFERROR(VLOOKUP(D393,'Công T5'!$C$7:$F$89,2,0),"")</f>
        <v/>
      </c>
      <c r="M393" s="92" t="str">
        <f>IFERROR(VLOOKUP(D393,'Công T5'!$C$7:$F$89,3,0),"")</f>
        <v/>
      </c>
      <c r="N393" s="92">
        <f t="shared" si="9"/>
        <v>0.3333333333</v>
      </c>
      <c r="O393" s="92">
        <f t="shared" si="2"/>
        <v>0.7083333333</v>
      </c>
      <c r="P393" s="94">
        <f t="shared" si="3"/>
        <v>0.5</v>
      </c>
      <c r="Q393" s="94">
        <f t="shared" si="4"/>
        <v>0.5</v>
      </c>
      <c r="R393" s="95">
        <f t="shared" si="5"/>
        <v>1</v>
      </c>
      <c r="S393" s="95">
        <f t="shared" si="6"/>
        <v>0</v>
      </c>
      <c r="T393" s="95">
        <f t="shared" si="7"/>
        <v>0</v>
      </c>
    </row>
    <row r="394">
      <c r="A394" s="96">
        <v>125.0</v>
      </c>
      <c r="B394" s="97">
        <v>44678.0</v>
      </c>
      <c r="C394" s="96">
        <v>10085.0</v>
      </c>
      <c r="D394" s="98" t="s">
        <v>74</v>
      </c>
      <c r="E394" s="98" t="s">
        <v>160</v>
      </c>
      <c r="F394" s="99">
        <v>0.3263888888888889</v>
      </c>
      <c r="G394" s="99">
        <v>0.7729166666666667</v>
      </c>
      <c r="H394" s="101"/>
      <c r="I394" s="92" t="str">
        <f>IFERROR(VLOOKUP(D394,'Công T5'!$C$7:$F$89,4,0),"")</f>
        <v>NV</v>
      </c>
      <c r="J394" s="92">
        <f t="shared" si="8"/>
        <v>0.3263888889</v>
      </c>
      <c r="K394" s="92">
        <f t="shared" si="1"/>
        <v>0.7729166667</v>
      </c>
      <c r="L394" s="92" t="str">
        <f>IFERROR(VLOOKUP(D394,'Công T5'!$C$7:$F$89,2,0),"")</f>
        <v/>
      </c>
      <c r="M394" s="92" t="str">
        <f>IFERROR(VLOOKUP(D394,'Công T5'!$C$7:$F$89,3,0),"")</f>
        <v/>
      </c>
      <c r="N394" s="92">
        <f t="shared" si="9"/>
        <v>0.3333333333</v>
      </c>
      <c r="O394" s="92">
        <f t="shared" si="2"/>
        <v>0.7083333333</v>
      </c>
      <c r="P394" s="94">
        <f t="shared" si="3"/>
        <v>0.5</v>
      </c>
      <c r="Q394" s="94">
        <f t="shared" si="4"/>
        <v>0.5</v>
      </c>
      <c r="R394" s="95">
        <f t="shared" si="5"/>
        <v>1</v>
      </c>
      <c r="S394" s="95">
        <f t="shared" si="6"/>
        <v>0</v>
      </c>
      <c r="T394" s="95">
        <f t="shared" si="7"/>
        <v>0</v>
      </c>
    </row>
    <row r="395">
      <c r="A395" s="96">
        <v>126.0</v>
      </c>
      <c r="B395" s="97">
        <v>44679.0</v>
      </c>
      <c r="C395" s="96">
        <v>10085.0</v>
      </c>
      <c r="D395" s="98" t="s">
        <v>74</v>
      </c>
      <c r="E395" s="98" t="s">
        <v>160</v>
      </c>
      <c r="F395" s="99">
        <v>0.33055555555555555</v>
      </c>
      <c r="G395" s="99">
        <v>0.7263888888888889</v>
      </c>
      <c r="H395" s="101"/>
      <c r="I395" s="92" t="str">
        <f>IFERROR(VLOOKUP(D395,'Công T5'!$C$7:$F$89,4,0),"")</f>
        <v>NV</v>
      </c>
      <c r="J395" s="92">
        <f t="shared" si="8"/>
        <v>0.3305555556</v>
      </c>
      <c r="K395" s="92">
        <f t="shared" si="1"/>
        <v>0.7263888889</v>
      </c>
      <c r="L395" s="92" t="str">
        <f>IFERROR(VLOOKUP(D395,'Công T5'!$C$7:$F$89,2,0),"")</f>
        <v/>
      </c>
      <c r="M395" s="92" t="str">
        <f>IFERROR(VLOOKUP(D395,'Công T5'!$C$7:$F$89,3,0),"")</f>
        <v/>
      </c>
      <c r="N395" s="92">
        <f t="shared" si="9"/>
        <v>0.3333333333</v>
      </c>
      <c r="O395" s="92">
        <f t="shared" si="2"/>
        <v>0.7083333333</v>
      </c>
      <c r="P395" s="94">
        <f t="shared" si="3"/>
        <v>0.5</v>
      </c>
      <c r="Q395" s="94">
        <f t="shared" si="4"/>
        <v>0.5</v>
      </c>
      <c r="R395" s="95">
        <f t="shared" si="5"/>
        <v>1</v>
      </c>
      <c r="S395" s="95">
        <f t="shared" si="6"/>
        <v>0</v>
      </c>
      <c r="T395" s="95">
        <f t="shared" si="7"/>
        <v>0</v>
      </c>
    </row>
    <row r="396">
      <c r="A396" s="96">
        <v>127.0</v>
      </c>
      <c r="B396" s="97">
        <v>44680.0</v>
      </c>
      <c r="C396" s="96">
        <v>10085.0</v>
      </c>
      <c r="D396" s="98" t="s">
        <v>74</v>
      </c>
      <c r="E396" s="98" t="s">
        <v>160</v>
      </c>
      <c r="F396" s="99">
        <v>0.3284722222222222</v>
      </c>
      <c r="G396" s="99">
        <v>0.8173611111111111</v>
      </c>
      <c r="H396" s="101"/>
      <c r="I396" s="92" t="str">
        <f>IFERROR(VLOOKUP(D396,'Công T5'!$C$7:$F$89,4,0),"")</f>
        <v>NV</v>
      </c>
      <c r="J396" s="92">
        <f t="shared" si="8"/>
        <v>0.3284722222</v>
      </c>
      <c r="K396" s="92">
        <f t="shared" si="1"/>
        <v>0.8173611111</v>
      </c>
      <c r="L396" s="92" t="str">
        <f>IFERROR(VLOOKUP(D396,'Công T5'!$C$7:$F$89,2,0),"")</f>
        <v/>
      </c>
      <c r="M396" s="92" t="str">
        <f>IFERROR(VLOOKUP(D396,'Công T5'!$C$7:$F$89,3,0),"")</f>
        <v/>
      </c>
      <c r="N396" s="92">
        <f t="shared" si="9"/>
        <v>0.3333333333</v>
      </c>
      <c r="O396" s="92">
        <f t="shared" si="2"/>
        <v>0.7083333333</v>
      </c>
      <c r="P396" s="94">
        <f t="shared" si="3"/>
        <v>0.5</v>
      </c>
      <c r="Q396" s="94">
        <f t="shared" si="4"/>
        <v>0.5</v>
      </c>
      <c r="R396" s="95">
        <f t="shared" si="5"/>
        <v>1</v>
      </c>
      <c r="S396" s="95">
        <f t="shared" si="6"/>
        <v>0</v>
      </c>
      <c r="T396" s="95">
        <f t="shared" si="7"/>
        <v>0</v>
      </c>
    </row>
    <row r="397">
      <c r="A397" s="96">
        <v>128.0</v>
      </c>
      <c r="B397" s="103">
        <v>44685.0</v>
      </c>
      <c r="C397" s="96">
        <v>10085.0</v>
      </c>
      <c r="D397" s="98" t="s">
        <v>74</v>
      </c>
      <c r="E397" s="98" t="s">
        <v>160</v>
      </c>
      <c r="F397" s="99">
        <v>0.3277777777777778</v>
      </c>
      <c r="G397" s="99">
        <v>0.7819444444444444</v>
      </c>
      <c r="H397" s="101"/>
      <c r="I397" s="92" t="str">
        <f>IFERROR(VLOOKUP(D397,'Công T5'!$C$7:$F$89,4,0),"")</f>
        <v>NV</v>
      </c>
      <c r="J397" s="92">
        <f t="shared" si="8"/>
        <v>0.3277777778</v>
      </c>
      <c r="K397" s="92">
        <f t="shared" si="1"/>
        <v>0.7819444444</v>
      </c>
      <c r="L397" s="92" t="str">
        <f>IFERROR(VLOOKUP(D397,'Công T5'!$C$7:$F$89,2,0),"")</f>
        <v/>
      </c>
      <c r="M397" s="92" t="str">
        <f>IFERROR(VLOOKUP(D397,'Công T5'!$C$7:$F$89,3,0),"")</f>
        <v/>
      </c>
      <c r="N397" s="92">
        <f t="shared" si="9"/>
        <v>0.3333333333</v>
      </c>
      <c r="O397" s="92">
        <f t="shared" si="2"/>
        <v>0.7083333333</v>
      </c>
      <c r="P397" s="94">
        <f t="shared" si="3"/>
        <v>0.5</v>
      </c>
      <c r="Q397" s="94">
        <f t="shared" si="4"/>
        <v>0.5</v>
      </c>
      <c r="R397" s="95">
        <f t="shared" si="5"/>
        <v>1</v>
      </c>
      <c r="S397" s="95">
        <f t="shared" si="6"/>
        <v>0</v>
      </c>
      <c r="T397" s="95">
        <f t="shared" si="7"/>
        <v>0</v>
      </c>
    </row>
    <row r="398">
      <c r="A398" s="96">
        <v>129.0</v>
      </c>
      <c r="B398" s="97">
        <v>44686.0</v>
      </c>
      <c r="C398" s="96">
        <v>10085.0</v>
      </c>
      <c r="D398" s="98" t="s">
        <v>74</v>
      </c>
      <c r="E398" s="98" t="s">
        <v>160</v>
      </c>
      <c r="F398" s="99">
        <v>0.32916666666666666</v>
      </c>
      <c r="G398" s="99">
        <v>0.7520833333333333</v>
      </c>
      <c r="H398" s="101"/>
      <c r="I398" s="92" t="str">
        <f>IFERROR(VLOOKUP(D398,'Công T5'!$C$7:$F$89,4,0),"")</f>
        <v>NV</v>
      </c>
      <c r="J398" s="92">
        <f t="shared" si="8"/>
        <v>0.3291666667</v>
      </c>
      <c r="K398" s="92">
        <f t="shared" si="1"/>
        <v>0.7520833333</v>
      </c>
      <c r="L398" s="92" t="str">
        <f>IFERROR(VLOOKUP(D398,'Công T5'!$C$7:$F$89,2,0),"")</f>
        <v/>
      </c>
      <c r="M398" s="92" t="str">
        <f>IFERROR(VLOOKUP(D398,'Công T5'!$C$7:$F$89,3,0),"")</f>
        <v/>
      </c>
      <c r="N398" s="92">
        <f t="shared" si="9"/>
        <v>0.3333333333</v>
      </c>
      <c r="O398" s="92">
        <f t="shared" si="2"/>
        <v>0.7083333333</v>
      </c>
      <c r="P398" s="94">
        <f t="shared" si="3"/>
        <v>0.5</v>
      </c>
      <c r="Q398" s="94">
        <f t="shared" si="4"/>
        <v>0.5</v>
      </c>
      <c r="R398" s="95">
        <f t="shared" si="5"/>
        <v>1</v>
      </c>
      <c r="S398" s="95">
        <f t="shared" si="6"/>
        <v>0</v>
      </c>
      <c r="T398" s="95">
        <f t="shared" si="7"/>
        <v>0</v>
      </c>
    </row>
    <row r="399">
      <c r="A399" s="96">
        <v>130.0</v>
      </c>
      <c r="B399" s="97">
        <v>44687.0</v>
      </c>
      <c r="C399" s="96">
        <v>10085.0</v>
      </c>
      <c r="D399" s="98" t="s">
        <v>74</v>
      </c>
      <c r="E399" s="98" t="s">
        <v>160</v>
      </c>
      <c r="F399" s="99">
        <v>0.3263888888888889</v>
      </c>
      <c r="G399" s="99">
        <v>0.8388888888888889</v>
      </c>
      <c r="H399" s="101"/>
      <c r="I399" s="92" t="str">
        <f>IFERROR(VLOOKUP(D399,'Công T5'!$C$7:$F$89,4,0),"")</f>
        <v>NV</v>
      </c>
      <c r="J399" s="92">
        <f t="shared" si="8"/>
        <v>0.3263888889</v>
      </c>
      <c r="K399" s="92">
        <f t="shared" si="1"/>
        <v>0.8388888889</v>
      </c>
      <c r="L399" s="92" t="str">
        <f>IFERROR(VLOOKUP(D399,'Công T5'!$C$7:$F$89,2,0),"")</f>
        <v/>
      </c>
      <c r="M399" s="92" t="str">
        <f>IFERROR(VLOOKUP(D399,'Công T5'!$C$7:$F$89,3,0),"")</f>
        <v/>
      </c>
      <c r="N399" s="92">
        <f t="shared" si="9"/>
        <v>0.3333333333</v>
      </c>
      <c r="O399" s="92">
        <f t="shared" si="2"/>
        <v>0.7083333333</v>
      </c>
      <c r="P399" s="94">
        <f t="shared" si="3"/>
        <v>0.5</v>
      </c>
      <c r="Q399" s="94">
        <f t="shared" si="4"/>
        <v>0.5</v>
      </c>
      <c r="R399" s="95">
        <f t="shared" si="5"/>
        <v>1</v>
      </c>
      <c r="S399" s="95">
        <f t="shared" si="6"/>
        <v>0</v>
      </c>
      <c r="T399" s="95">
        <f t="shared" si="7"/>
        <v>0</v>
      </c>
    </row>
    <row r="400">
      <c r="A400" s="96">
        <v>131.0</v>
      </c>
      <c r="B400" s="97">
        <v>44688.0</v>
      </c>
      <c r="C400" s="96">
        <v>10085.0</v>
      </c>
      <c r="D400" s="98" t="s">
        <v>74</v>
      </c>
      <c r="E400" s="98" t="s">
        <v>160</v>
      </c>
      <c r="F400" s="99">
        <v>0.325</v>
      </c>
      <c r="G400" s="99">
        <v>0.7430555555555556</v>
      </c>
      <c r="H400" s="101"/>
      <c r="I400" s="92" t="str">
        <f>IFERROR(VLOOKUP(D400,'Công T5'!$C$7:$F$89,4,0),"")</f>
        <v>NV</v>
      </c>
      <c r="J400" s="92">
        <f t="shared" si="8"/>
        <v>0.325</v>
      </c>
      <c r="K400" s="92">
        <f t="shared" si="1"/>
        <v>0.7430555556</v>
      </c>
      <c r="L400" s="92" t="str">
        <f>IFERROR(VLOOKUP(D400,'Công T5'!$C$7:$F$89,2,0),"")</f>
        <v/>
      </c>
      <c r="M400" s="92" t="str">
        <f>IFERROR(VLOOKUP(D400,'Công T5'!$C$7:$F$89,3,0),"")</f>
        <v/>
      </c>
      <c r="N400" s="92">
        <f t="shared" si="9"/>
        <v>0.3333333333</v>
      </c>
      <c r="O400" s="92">
        <f t="shared" si="2"/>
        <v>0.7083333333</v>
      </c>
      <c r="P400" s="94">
        <f t="shared" si="3"/>
        <v>0.5</v>
      </c>
      <c r="Q400" s="94">
        <f t="shared" si="4"/>
        <v>0.5</v>
      </c>
      <c r="R400" s="95">
        <f t="shared" si="5"/>
        <v>1</v>
      </c>
      <c r="S400" s="95">
        <f t="shared" si="6"/>
        <v>0</v>
      </c>
      <c r="T400" s="95">
        <f t="shared" si="7"/>
        <v>0</v>
      </c>
    </row>
    <row r="401">
      <c r="A401" s="96">
        <v>132.0</v>
      </c>
      <c r="B401" s="97">
        <v>44690.0</v>
      </c>
      <c r="C401" s="96">
        <v>10085.0</v>
      </c>
      <c r="D401" s="98" t="s">
        <v>74</v>
      </c>
      <c r="E401" s="98" t="s">
        <v>160</v>
      </c>
      <c r="F401" s="99">
        <v>0.3333333333333333</v>
      </c>
      <c r="G401" s="99">
        <v>0.8020833333333334</v>
      </c>
      <c r="H401" s="101"/>
      <c r="I401" s="92" t="str">
        <f>IFERROR(VLOOKUP(D401,'Công T5'!$C$7:$F$89,4,0),"")</f>
        <v>NV</v>
      </c>
      <c r="J401" s="92">
        <f t="shared" si="8"/>
        <v>0.3333333333</v>
      </c>
      <c r="K401" s="92">
        <f t="shared" si="1"/>
        <v>0.8020833333</v>
      </c>
      <c r="L401" s="92" t="str">
        <f>IFERROR(VLOOKUP(D401,'Công T5'!$C$7:$F$89,2,0),"")</f>
        <v/>
      </c>
      <c r="M401" s="92" t="str">
        <f>IFERROR(VLOOKUP(D401,'Công T5'!$C$7:$F$89,3,0),"")</f>
        <v/>
      </c>
      <c r="N401" s="92">
        <f t="shared" si="9"/>
        <v>0.3333333333</v>
      </c>
      <c r="O401" s="92">
        <f t="shared" si="2"/>
        <v>0.7083333333</v>
      </c>
      <c r="P401" s="94">
        <f t="shared" si="3"/>
        <v>0.5</v>
      </c>
      <c r="Q401" s="94">
        <f t="shared" si="4"/>
        <v>0.5</v>
      </c>
      <c r="R401" s="95">
        <f t="shared" si="5"/>
        <v>1</v>
      </c>
      <c r="S401" s="95">
        <f t="shared" si="6"/>
        <v>0</v>
      </c>
      <c r="T401" s="95">
        <f t="shared" si="7"/>
        <v>0</v>
      </c>
    </row>
    <row r="402">
      <c r="A402" s="96">
        <v>133.0</v>
      </c>
      <c r="B402" s="103">
        <v>44691.0</v>
      </c>
      <c r="C402" s="96">
        <v>10085.0</v>
      </c>
      <c r="D402" s="98" t="s">
        <v>74</v>
      </c>
      <c r="E402" s="98" t="s">
        <v>160</v>
      </c>
      <c r="F402" s="99">
        <v>0.3263888888888889</v>
      </c>
      <c r="G402" s="99">
        <v>0.7840277777777778</v>
      </c>
      <c r="H402" s="101"/>
      <c r="I402" s="92" t="str">
        <f>IFERROR(VLOOKUP(D402,'Công T5'!$C$7:$F$89,4,0),"")</f>
        <v>NV</v>
      </c>
      <c r="J402" s="92">
        <f t="shared" si="8"/>
        <v>0.3263888889</v>
      </c>
      <c r="K402" s="92">
        <f t="shared" si="1"/>
        <v>0.7840277778</v>
      </c>
      <c r="L402" s="92" t="str">
        <f>IFERROR(VLOOKUP(D402,'Công T5'!$C$7:$F$89,2,0),"")</f>
        <v/>
      </c>
      <c r="M402" s="92" t="str">
        <f>IFERROR(VLOOKUP(D402,'Công T5'!$C$7:$F$89,3,0),"")</f>
        <v/>
      </c>
      <c r="N402" s="92">
        <f t="shared" si="9"/>
        <v>0.3333333333</v>
      </c>
      <c r="O402" s="92">
        <f t="shared" si="2"/>
        <v>0.7083333333</v>
      </c>
      <c r="P402" s="94">
        <f t="shared" si="3"/>
        <v>0.5</v>
      </c>
      <c r="Q402" s="94">
        <f t="shared" si="4"/>
        <v>0.5</v>
      </c>
      <c r="R402" s="95">
        <f t="shared" si="5"/>
        <v>1</v>
      </c>
      <c r="S402" s="95">
        <f t="shared" si="6"/>
        <v>0</v>
      </c>
      <c r="T402" s="95">
        <f t="shared" si="7"/>
        <v>0</v>
      </c>
    </row>
    <row r="403">
      <c r="A403" s="96">
        <v>134.0</v>
      </c>
      <c r="B403" s="97">
        <v>44692.0</v>
      </c>
      <c r="C403" s="96">
        <v>10085.0</v>
      </c>
      <c r="D403" s="98" t="s">
        <v>74</v>
      </c>
      <c r="E403" s="98" t="s">
        <v>160</v>
      </c>
      <c r="F403" s="99">
        <v>0.32916666666666666</v>
      </c>
      <c r="G403" s="99">
        <v>0.7722222222222223</v>
      </c>
      <c r="H403" s="101"/>
      <c r="I403" s="92" t="str">
        <f>IFERROR(VLOOKUP(D403,'Công T5'!$C$7:$F$89,4,0),"")</f>
        <v>NV</v>
      </c>
      <c r="J403" s="92">
        <f t="shared" si="8"/>
        <v>0.3291666667</v>
      </c>
      <c r="K403" s="92">
        <f t="shared" si="1"/>
        <v>0.7722222222</v>
      </c>
      <c r="L403" s="92" t="str">
        <f>IFERROR(VLOOKUP(D403,'Công T5'!$C$7:$F$89,2,0),"")</f>
        <v/>
      </c>
      <c r="M403" s="92" t="str">
        <f>IFERROR(VLOOKUP(D403,'Công T5'!$C$7:$F$89,3,0),"")</f>
        <v/>
      </c>
      <c r="N403" s="92">
        <f t="shared" si="9"/>
        <v>0.3333333333</v>
      </c>
      <c r="O403" s="92">
        <f t="shared" si="2"/>
        <v>0.7083333333</v>
      </c>
      <c r="P403" s="94">
        <f t="shared" si="3"/>
        <v>0.5</v>
      </c>
      <c r="Q403" s="94">
        <f t="shared" si="4"/>
        <v>0.5</v>
      </c>
      <c r="R403" s="95">
        <f t="shared" si="5"/>
        <v>1</v>
      </c>
      <c r="S403" s="95">
        <f t="shared" si="6"/>
        <v>0</v>
      </c>
      <c r="T403" s="95">
        <f t="shared" si="7"/>
        <v>0</v>
      </c>
    </row>
    <row r="404">
      <c r="A404" s="96">
        <v>135.0</v>
      </c>
      <c r="B404" s="97">
        <v>44693.0</v>
      </c>
      <c r="C404" s="96">
        <v>10085.0</v>
      </c>
      <c r="D404" s="98" t="s">
        <v>74</v>
      </c>
      <c r="E404" s="98" t="s">
        <v>160</v>
      </c>
      <c r="F404" s="99">
        <v>0.3298611111111111</v>
      </c>
      <c r="G404" s="99">
        <v>0.7340277777777777</v>
      </c>
      <c r="H404" s="101"/>
      <c r="I404" s="92" t="str">
        <f>IFERROR(VLOOKUP(D404,'Công T5'!$C$7:$F$89,4,0),"")</f>
        <v>NV</v>
      </c>
      <c r="J404" s="92">
        <f t="shared" si="8"/>
        <v>0.3298611111</v>
      </c>
      <c r="K404" s="92">
        <f t="shared" si="1"/>
        <v>0.7340277778</v>
      </c>
      <c r="L404" s="92" t="str">
        <f>IFERROR(VLOOKUP(D404,'Công T5'!$C$7:$F$89,2,0),"")</f>
        <v/>
      </c>
      <c r="M404" s="92" t="str">
        <f>IFERROR(VLOOKUP(D404,'Công T5'!$C$7:$F$89,3,0),"")</f>
        <v/>
      </c>
      <c r="N404" s="92">
        <f t="shared" si="9"/>
        <v>0.3333333333</v>
      </c>
      <c r="O404" s="92">
        <f t="shared" si="2"/>
        <v>0.7083333333</v>
      </c>
      <c r="P404" s="94">
        <f t="shared" si="3"/>
        <v>0.5</v>
      </c>
      <c r="Q404" s="94">
        <f t="shared" si="4"/>
        <v>0.5</v>
      </c>
      <c r="R404" s="95">
        <f t="shared" si="5"/>
        <v>1</v>
      </c>
      <c r="S404" s="95">
        <f t="shared" si="6"/>
        <v>0</v>
      </c>
      <c r="T404" s="95">
        <f t="shared" si="7"/>
        <v>0</v>
      </c>
    </row>
    <row r="405">
      <c r="A405" s="96">
        <v>136.0</v>
      </c>
      <c r="B405" s="103">
        <v>44694.0</v>
      </c>
      <c r="C405" s="96">
        <v>10085.0</v>
      </c>
      <c r="D405" s="98" t="s">
        <v>74</v>
      </c>
      <c r="E405" s="98" t="s">
        <v>160</v>
      </c>
      <c r="F405" s="99">
        <v>0.32708333333333334</v>
      </c>
      <c r="G405" s="99">
        <v>0.7618055555555555</v>
      </c>
      <c r="H405" s="101"/>
      <c r="I405" s="92" t="str">
        <f>IFERROR(VLOOKUP(D405,'Công T5'!$C$7:$F$89,4,0),"")</f>
        <v>NV</v>
      </c>
      <c r="J405" s="92">
        <f t="shared" si="8"/>
        <v>0.3270833333</v>
      </c>
      <c r="K405" s="92">
        <f t="shared" si="1"/>
        <v>0.7618055556</v>
      </c>
      <c r="L405" s="92" t="str">
        <f>IFERROR(VLOOKUP(D405,'Công T5'!$C$7:$F$89,2,0),"")</f>
        <v/>
      </c>
      <c r="M405" s="92" t="str">
        <f>IFERROR(VLOOKUP(D405,'Công T5'!$C$7:$F$89,3,0),"")</f>
        <v/>
      </c>
      <c r="N405" s="92">
        <f t="shared" si="9"/>
        <v>0.3333333333</v>
      </c>
      <c r="O405" s="92">
        <f t="shared" si="2"/>
        <v>0.7083333333</v>
      </c>
      <c r="P405" s="94">
        <f t="shared" si="3"/>
        <v>0.5</v>
      </c>
      <c r="Q405" s="94">
        <f t="shared" si="4"/>
        <v>0.5</v>
      </c>
      <c r="R405" s="95">
        <f t="shared" si="5"/>
        <v>1</v>
      </c>
      <c r="S405" s="95">
        <f t="shared" si="6"/>
        <v>0</v>
      </c>
      <c r="T405" s="95">
        <f t="shared" si="7"/>
        <v>0</v>
      </c>
    </row>
    <row r="406">
      <c r="A406" s="96">
        <v>137.0</v>
      </c>
      <c r="B406" s="103">
        <v>44697.0</v>
      </c>
      <c r="C406" s="96">
        <v>10085.0</v>
      </c>
      <c r="D406" s="98" t="s">
        <v>74</v>
      </c>
      <c r="E406" s="98" t="s">
        <v>160</v>
      </c>
      <c r="F406" s="99">
        <v>0.32013888888888886</v>
      </c>
      <c r="G406" s="99">
        <v>0.7993055555555556</v>
      </c>
      <c r="H406" s="101"/>
      <c r="I406" s="92" t="str">
        <f>IFERROR(VLOOKUP(D406,'Công T5'!$C$7:$F$89,4,0),"")</f>
        <v>NV</v>
      </c>
      <c r="J406" s="92">
        <f t="shared" si="8"/>
        <v>0.3201388889</v>
      </c>
      <c r="K406" s="92">
        <f t="shared" si="1"/>
        <v>0.7993055556</v>
      </c>
      <c r="L406" s="92" t="str">
        <f>IFERROR(VLOOKUP(D406,'Công T5'!$C$7:$F$89,2,0),"")</f>
        <v/>
      </c>
      <c r="M406" s="92" t="str">
        <f>IFERROR(VLOOKUP(D406,'Công T5'!$C$7:$F$89,3,0),"")</f>
        <v/>
      </c>
      <c r="N406" s="92">
        <f t="shared" si="9"/>
        <v>0.3333333333</v>
      </c>
      <c r="O406" s="92">
        <f t="shared" si="2"/>
        <v>0.7083333333</v>
      </c>
      <c r="P406" s="94">
        <f t="shared" si="3"/>
        <v>0.5</v>
      </c>
      <c r="Q406" s="94">
        <f t="shared" si="4"/>
        <v>0.5</v>
      </c>
      <c r="R406" s="95">
        <f t="shared" si="5"/>
        <v>1</v>
      </c>
      <c r="S406" s="95">
        <f t="shared" si="6"/>
        <v>0</v>
      </c>
      <c r="T406" s="95">
        <f t="shared" si="7"/>
        <v>0</v>
      </c>
    </row>
    <row r="407">
      <c r="A407" s="96">
        <v>138.0</v>
      </c>
      <c r="B407" s="97">
        <v>44698.0</v>
      </c>
      <c r="C407" s="96">
        <v>10085.0</v>
      </c>
      <c r="D407" s="98" t="s">
        <v>74</v>
      </c>
      <c r="E407" s="98" t="s">
        <v>160</v>
      </c>
      <c r="F407" s="99">
        <v>0.3298611111111111</v>
      </c>
      <c r="G407" s="99">
        <v>0.7916666666666666</v>
      </c>
      <c r="H407" s="101"/>
      <c r="I407" s="92" t="str">
        <f>IFERROR(VLOOKUP(D407,'Công T5'!$C$7:$F$89,4,0),"")</f>
        <v>NV</v>
      </c>
      <c r="J407" s="92">
        <f t="shared" si="8"/>
        <v>0.3298611111</v>
      </c>
      <c r="K407" s="92">
        <f t="shared" si="1"/>
        <v>0.7916666667</v>
      </c>
      <c r="L407" s="92" t="str">
        <f>IFERROR(VLOOKUP(D407,'Công T5'!$C$7:$F$89,2,0),"")</f>
        <v/>
      </c>
      <c r="M407" s="92" t="str">
        <f>IFERROR(VLOOKUP(D407,'Công T5'!$C$7:$F$89,3,0),"")</f>
        <v/>
      </c>
      <c r="N407" s="92">
        <f t="shared" si="9"/>
        <v>0.3333333333</v>
      </c>
      <c r="O407" s="92">
        <f t="shared" si="2"/>
        <v>0.7083333333</v>
      </c>
      <c r="P407" s="94">
        <f t="shared" si="3"/>
        <v>0.5</v>
      </c>
      <c r="Q407" s="94">
        <f t="shared" si="4"/>
        <v>0.5</v>
      </c>
      <c r="R407" s="95">
        <f t="shared" si="5"/>
        <v>1</v>
      </c>
      <c r="S407" s="95">
        <f t="shared" si="6"/>
        <v>0</v>
      </c>
      <c r="T407" s="95">
        <f t="shared" si="7"/>
        <v>0</v>
      </c>
    </row>
    <row r="408">
      <c r="A408" s="96">
        <v>139.0</v>
      </c>
      <c r="B408" s="97">
        <v>44699.0</v>
      </c>
      <c r="C408" s="96">
        <v>10085.0</v>
      </c>
      <c r="D408" s="98" t="s">
        <v>74</v>
      </c>
      <c r="E408" s="98" t="s">
        <v>160</v>
      </c>
      <c r="F408" s="99">
        <v>0.32430555555555557</v>
      </c>
      <c r="G408" s="99">
        <v>0.7416666666666667</v>
      </c>
      <c r="H408" s="101"/>
      <c r="I408" s="92" t="str">
        <f>IFERROR(VLOOKUP(D408,'Công T5'!$C$7:$F$89,4,0),"")</f>
        <v>NV</v>
      </c>
      <c r="J408" s="92">
        <f t="shared" si="8"/>
        <v>0.3243055556</v>
      </c>
      <c r="K408" s="92">
        <f t="shared" si="1"/>
        <v>0.7416666667</v>
      </c>
      <c r="L408" s="92" t="str">
        <f>IFERROR(VLOOKUP(D408,'Công T5'!$C$7:$F$89,2,0),"")</f>
        <v/>
      </c>
      <c r="M408" s="92" t="str">
        <f>IFERROR(VLOOKUP(D408,'Công T5'!$C$7:$F$89,3,0),"")</f>
        <v/>
      </c>
      <c r="N408" s="92">
        <f t="shared" si="9"/>
        <v>0.3333333333</v>
      </c>
      <c r="O408" s="92">
        <f t="shared" si="2"/>
        <v>0.7083333333</v>
      </c>
      <c r="P408" s="94">
        <f t="shared" si="3"/>
        <v>0.5</v>
      </c>
      <c r="Q408" s="94">
        <f t="shared" si="4"/>
        <v>0.5</v>
      </c>
      <c r="R408" s="95">
        <f t="shared" si="5"/>
        <v>1</v>
      </c>
      <c r="S408" s="95">
        <f t="shared" si="6"/>
        <v>0</v>
      </c>
      <c r="T408" s="95">
        <f t="shared" si="7"/>
        <v>0</v>
      </c>
    </row>
    <row r="409">
      <c r="A409" s="96">
        <v>140.0</v>
      </c>
      <c r="B409" s="97">
        <v>44700.0</v>
      </c>
      <c r="C409" s="96">
        <v>10085.0</v>
      </c>
      <c r="D409" s="98" t="s">
        <v>74</v>
      </c>
      <c r="E409" s="98" t="s">
        <v>160</v>
      </c>
      <c r="F409" s="99">
        <v>0.3298611111111111</v>
      </c>
      <c r="G409" s="99">
        <v>0.7375</v>
      </c>
      <c r="H409" s="101"/>
      <c r="I409" s="92" t="str">
        <f>IFERROR(VLOOKUP(D409,'Công T5'!$C$7:$F$89,4,0),"")</f>
        <v>NV</v>
      </c>
      <c r="J409" s="92">
        <f t="shared" si="8"/>
        <v>0.3298611111</v>
      </c>
      <c r="K409" s="92">
        <f t="shared" si="1"/>
        <v>0.7375</v>
      </c>
      <c r="L409" s="92" t="str">
        <f>IFERROR(VLOOKUP(D409,'Công T5'!$C$7:$F$89,2,0),"")</f>
        <v/>
      </c>
      <c r="M409" s="92" t="str">
        <f>IFERROR(VLOOKUP(D409,'Công T5'!$C$7:$F$89,3,0),"")</f>
        <v/>
      </c>
      <c r="N409" s="92">
        <f t="shared" si="9"/>
        <v>0.3333333333</v>
      </c>
      <c r="O409" s="92">
        <f t="shared" si="2"/>
        <v>0.7083333333</v>
      </c>
      <c r="P409" s="94">
        <f t="shared" si="3"/>
        <v>0.5</v>
      </c>
      <c r="Q409" s="94">
        <f t="shared" si="4"/>
        <v>0.5</v>
      </c>
      <c r="R409" s="95">
        <f t="shared" si="5"/>
        <v>1</v>
      </c>
      <c r="S409" s="95">
        <f t="shared" si="6"/>
        <v>0</v>
      </c>
      <c r="T409" s="95">
        <f t="shared" si="7"/>
        <v>0</v>
      </c>
    </row>
    <row r="410">
      <c r="A410" s="96">
        <v>141.0</v>
      </c>
      <c r="B410" s="103">
        <v>44701.0</v>
      </c>
      <c r="C410" s="96">
        <v>10085.0</v>
      </c>
      <c r="D410" s="98" t="s">
        <v>74</v>
      </c>
      <c r="E410" s="98" t="s">
        <v>160</v>
      </c>
      <c r="F410" s="99">
        <v>0.3229166666666667</v>
      </c>
      <c r="G410" s="99">
        <v>0.8166666666666667</v>
      </c>
      <c r="H410" s="101"/>
      <c r="I410" s="92" t="str">
        <f>IFERROR(VLOOKUP(D410,'Công T5'!$C$7:$F$89,4,0),"")</f>
        <v>NV</v>
      </c>
      <c r="J410" s="92">
        <f t="shared" si="8"/>
        <v>0.3229166667</v>
      </c>
      <c r="K410" s="92">
        <f t="shared" si="1"/>
        <v>0.8166666667</v>
      </c>
      <c r="L410" s="92" t="str">
        <f>IFERROR(VLOOKUP(D410,'Công T5'!$C$7:$F$89,2,0),"")</f>
        <v/>
      </c>
      <c r="M410" s="92" t="str">
        <f>IFERROR(VLOOKUP(D410,'Công T5'!$C$7:$F$89,3,0),"")</f>
        <v/>
      </c>
      <c r="N410" s="92">
        <f t="shared" si="9"/>
        <v>0.3333333333</v>
      </c>
      <c r="O410" s="92">
        <f t="shared" si="2"/>
        <v>0.7083333333</v>
      </c>
      <c r="P410" s="94">
        <f t="shared" si="3"/>
        <v>0.5</v>
      </c>
      <c r="Q410" s="94">
        <f t="shared" si="4"/>
        <v>0.5</v>
      </c>
      <c r="R410" s="95">
        <f t="shared" si="5"/>
        <v>1</v>
      </c>
      <c r="S410" s="95">
        <f t="shared" si="6"/>
        <v>0</v>
      </c>
      <c r="T410" s="95">
        <f t="shared" si="7"/>
        <v>0</v>
      </c>
    </row>
    <row r="411">
      <c r="A411" s="96">
        <v>142.0</v>
      </c>
      <c r="B411" s="97">
        <v>44702.0</v>
      </c>
      <c r="C411" s="96">
        <v>10085.0</v>
      </c>
      <c r="D411" s="98" t="s">
        <v>74</v>
      </c>
      <c r="E411" s="98" t="s">
        <v>160</v>
      </c>
      <c r="F411" s="99">
        <v>0.33194444444444443</v>
      </c>
      <c r="G411" s="99">
        <v>0.7180555555555556</v>
      </c>
      <c r="H411" s="101"/>
      <c r="I411" s="92" t="str">
        <f>IFERROR(VLOOKUP(D411,'Công T5'!$C$7:$F$89,4,0),"")</f>
        <v>NV</v>
      </c>
      <c r="J411" s="92">
        <f t="shared" si="8"/>
        <v>0.3319444444</v>
      </c>
      <c r="K411" s="92">
        <f t="shared" si="1"/>
        <v>0.7180555556</v>
      </c>
      <c r="L411" s="92" t="str">
        <f>IFERROR(VLOOKUP(D411,'Công T5'!$C$7:$F$89,2,0),"")</f>
        <v/>
      </c>
      <c r="M411" s="92" t="str">
        <f>IFERROR(VLOOKUP(D411,'Công T5'!$C$7:$F$89,3,0),"")</f>
        <v/>
      </c>
      <c r="N411" s="92">
        <f t="shared" si="9"/>
        <v>0.3333333333</v>
      </c>
      <c r="O411" s="92">
        <f t="shared" si="2"/>
        <v>0.7083333333</v>
      </c>
      <c r="P411" s="94">
        <f t="shared" si="3"/>
        <v>0.5</v>
      </c>
      <c r="Q411" s="94">
        <f t="shared" si="4"/>
        <v>0.5</v>
      </c>
      <c r="R411" s="95">
        <f t="shared" si="5"/>
        <v>1</v>
      </c>
      <c r="S411" s="95">
        <f t="shared" si="6"/>
        <v>0</v>
      </c>
      <c r="T411" s="95">
        <f t="shared" si="7"/>
        <v>0</v>
      </c>
    </row>
    <row r="412">
      <c r="A412" s="96">
        <v>143.0</v>
      </c>
      <c r="B412" s="97">
        <v>44704.0</v>
      </c>
      <c r="C412" s="96">
        <v>10085.0</v>
      </c>
      <c r="D412" s="98" t="s">
        <v>74</v>
      </c>
      <c r="E412" s="98" t="s">
        <v>160</v>
      </c>
      <c r="F412" s="99">
        <v>0.3284722222222222</v>
      </c>
      <c r="G412" s="99">
        <v>0.8277777777777777</v>
      </c>
      <c r="H412" s="101"/>
      <c r="I412" s="92" t="str">
        <f>IFERROR(VLOOKUP(D412,'Công T5'!$C$7:$F$89,4,0),"")</f>
        <v>NV</v>
      </c>
      <c r="J412" s="92">
        <f t="shared" si="8"/>
        <v>0.3284722222</v>
      </c>
      <c r="K412" s="92">
        <f t="shared" si="1"/>
        <v>0.8277777778</v>
      </c>
      <c r="L412" s="92" t="str">
        <f>IFERROR(VLOOKUP(D412,'Công T5'!$C$7:$F$89,2,0),"")</f>
        <v/>
      </c>
      <c r="M412" s="92" t="str">
        <f>IFERROR(VLOOKUP(D412,'Công T5'!$C$7:$F$89,3,0),"")</f>
        <v/>
      </c>
      <c r="N412" s="92">
        <f t="shared" si="9"/>
        <v>0.3333333333</v>
      </c>
      <c r="O412" s="92">
        <f t="shared" si="2"/>
        <v>0.7083333333</v>
      </c>
      <c r="P412" s="94">
        <f t="shared" si="3"/>
        <v>0.5</v>
      </c>
      <c r="Q412" s="94">
        <f t="shared" si="4"/>
        <v>0.5</v>
      </c>
      <c r="R412" s="95">
        <f t="shared" si="5"/>
        <v>1</v>
      </c>
      <c r="S412" s="95">
        <f t="shared" si="6"/>
        <v>0</v>
      </c>
      <c r="T412" s="95">
        <f t="shared" si="7"/>
        <v>0</v>
      </c>
    </row>
    <row r="413">
      <c r="A413" s="96">
        <v>144.0</v>
      </c>
      <c r="B413" s="97">
        <v>44705.0</v>
      </c>
      <c r="C413" s="96">
        <v>10085.0</v>
      </c>
      <c r="D413" s="98" t="s">
        <v>74</v>
      </c>
      <c r="E413" s="98" t="s">
        <v>160</v>
      </c>
      <c r="F413" s="99">
        <v>0.3375</v>
      </c>
      <c r="G413" s="99">
        <v>0.6451388888888889</v>
      </c>
      <c r="H413" s="101"/>
      <c r="I413" s="92" t="str">
        <f>IFERROR(VLOOKUP(D413,'Công T5'!$C$7:$F$89,4,0),"")</f>
        <v>NV</v>
      </c>
      <c r="J413" s="92">
        <f t="shared" si="8"/>
        <v>0.3375</v>
      </c>
      <c r="K413" s="92">
        <f t="shared" si="1"/>
        <v>0.6451388889</v>
      </c>
      <c r="L413" s="92" t="str">
        <f>IFERROR(VLOOKUP(D413,'Công T5'!$C$7:$F$89,2,0),"")</f>
        <v/>
      </c>
      <c r="M413" s="92" t="str">
        <f>IFERROR(VLOOKUP(D413,'Công T5'!$C$7:$F$89,3,0),"")</f>
        <v/>
      </c>
      <c r="N413" s="92">
        <f t="shared" si="9"/>
        <v>0.3333333333</v>
      </c>
      <c r="O413" s="92">
        <f t="shared" si="2"/>
        <v>0.6451388889</v>
      </c>
      <c r="P413" s="94">
        <f t="shared" si="3"/>
        <v>0.5</v>
      </c>
      <c r="Q413" s="94">
        <f t="shared" si="4"/>
        <v>0.3104166667</v>
      </c>
      <c r="R413" s="95">
        <f t="shared" si="5"/>
        <v>0.8104166667</v>
      </c>
      <c r="S413" s="95">
        <f t="shared" si="6"/>
        <v>1</v>
      </c>
      <c r="T413" s="95">
        <f t="shared" si="7"/>
        <v>0</v>
      </c>
    </row>
    <row r="414">
      <c r="A414" s="96">
        <v>145.0</v>
      </c>
      <c r="B414" s="103">
        <v>44677.0</v>
      </c>
      <c r="C414" s="96">
        <v>10176.0</v>
      </c>
      <c r="D414" s="98" t="s">
        <v>78</v>
      </c>
      <c r="E414" s="98" t="s">
        <v>159</v>
      </c>
      <c r="F414" s="99">
        <v>0.32083333333333336</v>
      </c>
      <c r="G414" s="99">
        <v>0.7569444444444444</v>
      </c>
      <c r="H414" s="101"/>
      <c r="I414" s="92" t="str">
        <f>IFERROR(VLOOKUP(D414,'Công T5'!$C$7:$F$89,4,0),"")</f>
        <v>NV</v>
      </c>
      <c r="J414" s="92">
        <f t="shared" si="8"/>
        <v>0.3208333333</v>
      </c>
      <c r="K414" s="92">
        <f t="shared" si="1"/>
        <v>0.7569444444</v>
      </c>
      <c r="L414" s="92" t="str">
        <f>IFERROR(VLOOKUP(D414,'Công T5'!$C$7:$F$89,2,0),"")</f>
        <v/>
      </c>
      <c r="M414" s="92" t="str">
        <f>IFERROR(VLOOKUP(D414,'Công T5'!$C$7:$F$89,3,0),"")</f>
        <v/>
      </c>
      <c r="N414" s="92">
        <f t="shared" si="9"/>
        <v>0.3333333333</v>
      </c>
      <c r="O414" s="92">
        <f t="shared" si="2"/>
        <v>0.7083333333</v>
      </c>
      <c r="P414" s="94">
        <f t="shared" si="3"/>
        <v>0.5</v>
      </c>
      <c r="Q414" s="94">
        <f t="shared" si="4"/>
        <v>0.5</v>
      </c>
      <c r="R414" s="95">
        <f t="shared" si="5"/>
        <v>1</v>
      </c>
      <c r="S414" s="95">
        <f t="shared" si="6"/>
        <v>0</v>
      </c>
      <c r="T414" s="95">
        <f t="shared" si="7"/>
        <v>0</v>
      </c>
    </row>
    <row r="415">
      <c r="A415" s="96">
        <v>146.0</v>
      </c>
      <c r="B415" s="97">
        <v>44678.0</v>
      </c>
      <c r="C415" s="96">
        <v>10176.0</v>
      </c>
      <c r="D415" s="98" t="s">
        <v>78</v>
      </c>
      <c r="E415" s="98" t="s">
        <v>159</v>
      </c>
      <c r="F415" s="99">
        <v>0.32569444444444445</v>
      </c>
      <c r="G415" s="99">
        <v>0.7291666666666666</v>
      </c>
      <c r="H415" s="101"/>
      <c r="I415" s="92" t="str">
        <f>IFERROR(VLOOKUP(D415,'Công T5'!$C$7:$F$89,4,0),"")</f>
        <v>NV</v>
      </c>
      <c r="J415" s="92">
        <f t="shared" si="8"/>
        <v>0.3256944444</v>
      </c>
      <c r="K415" s="92">
        <f t="shared" si="1"/>
        <v>0.7291666667</v>
      </c>
      <c r="L415" s="92" t="str">
        <f>IFERROR(VLOOKUP(D415,'Công T5'!$C$7:$F$89,2,0),"")</f>
        <v/>
      </c>
      <c r="M415" s="92" t="str">
        <f>IFERROR(VLOOKUP(D415,'Công T5'!$C$7:$F$89,3,0),"")</f>
        <v/>
      </c>
      <c r="N415" s="92">
        <f t="shared" si="9"/>
        <v>0.3333333333</v>
      </c>
      <c r="O415" s="92">
        <f t="shared" si="2"/>
        <v>0.7083333333</v>
      </c>
      <c r="P415" s="94">
        <f t="shared" si="3"/>
        <v>0.5</v>
      </c>
      <c r="Q415" s="94">
        <f t="shared" si="4"/>
        <v>0.5</v>
      </c>
      <c r="R415" s="95">
        <f t="shared" si="5"/>
        <v>1</v>
      </c>
      <c r="S415" s="95">
        <f t="shared" si="6"/>
        <v>0</v>
      </c>
      <c r="T415" s="95">
        <f t="shared" si="7"/>
        <v>0</v>
      </c>
    </row>
    <row r="416">
      <c r="A416" s="96">
        <v>147.0</v>
      </c>
      <c r="B416" s="103">
        <v>44679.0</v>
      </c>
      <c r="C416" s="96">
        <v>10176.0</v>
      </c>
      <c r="D416" s="98" t="s">
        <v>78</v>
      </c>
      <c r="E416" s="98" t="s">
        <v>159</v>
      </c>
      <c r="F416" s="99">
        <v>0.30277777777777776</v>
      </c>
      <c r="G416" s="99">
        <v>0.7159722222222222</v>
      </c>
      <c r="H416" s="101"/>
      <c r="I416" s="92" t="str">
        <f>IFERROR(VLOOKUP(D416,'Công T5'!$C$7:$F$89,4,0),"")</f>
        <v>NV</v>
      </c>
      <c r="J416" s="92">
        <f t="shared" si="8"/>
        <v>0.3027777778</v>
      </c>
      <c r="K416" s="92">
        <f t="shared" si="1"/>
        <v>0.7159722222</v>
      </c>
      <c r="L416" s="92" t="str">
        <f>IFERROR(VLOOKUP(D416,'Công T5'!$C$7:$F$89,2,0),"")</f>
        <v/>
      </c>
      <c r="M416" s="92" t="str">
        <f>IFERROR(VLOOKUP(D416,'Công T5'!$C$7:$F$89,3,0),"")</f>
        <v/>
      </c>
      <c r="N416" s="92">
        <f t="shared" si="9"/>
        <v>0.3333333333</v>
      </c>
      <c r="O416" s="92">
        <f t="shared" si="2"/>
        <v>0.7083333333</v>
      </c>
      <c r="P416" s="94">
        <f t="shared" si="3"/>
        <v>0.5</v>
      </c>
      <c r="Q416" s="94">
        <f t="shared" si="4"/>
        <v>0.5</v>
      </c>
      <c r="R416" s="95">
        <f t="shared" si="5"/>
        <v>1</v>
      </c>
      <c r="S416" s="95">
        <f t="shared" si="6"/>
        <v>0</v>
      </c>
      <c r="T416" s="95">
        <f t="shared" si="7"/>
        <v>0</v>
      </c>
    </row>
    <row r="417">
      <c r="A417" s="96">
        <v>148.0</v>
      </c>
      <c r="B417" s="103">
        <v>44680.0</v>
      </c>
      <c r="C417" s="96">
        <v>10176.0</v>
      </c>
      <c r="D417" s="98" t="s">
        <v>78</v>
      </c>
      <c r="E417" s="98" t="s">
        <v>159</v>
      </c>
      <c r="F417" s="99">
        <v>0.32569444444444445</v>
      </c>
      <c r="G417" s="99">
        <v>0.7180555555555556</v>
      </c>
      <c r="H417" s="101"/>
      <c r="I417" s="92" t="str">
        <f>IFERROR(VLOOKUP(D417,'Công T5'!$C$7:$F$89,4,0),"")</f>
        <v>NV</v>
      </c>
      <c r="J417" s="92">
        <f t="shared" si="8"/>
        <v>0.3256944444</v>
      </c>
      <c r="K417" s="92">
        <f t="shared" si="1"/>
        <v>0.7180555556</v>
      </c>
      <c r="L417" s="92" t="str">
        <f>IFERROR(VLOOKUP(D417,'Công T5'!$C$7:$F$89,2,0),"")</f>
        <v/>
      </c>
      <c r="M417" s="92" t="str">
        <f>IFERROR(VLOOKUP(D417,'Công T5'!$C$7:$F$89,3,0),"")</f>
        <v/>
      </c>
      <c r="N417" s="92">
        <f t="shared" si="9"/>
        <v>0.3333333333</v>
      </c>
      <c r="O417" s="92">
        <f t="shared" si="2"/>
        <v>0.7083333333</v>
      </c>
      <c r="P417" s="94">
        <f t="shared" si="3"/>
        <v>0.5</v>
      </c>
      <c r="Q417" s="94">
        <f t="shared" si="4"/>
        <v>0.5</v>
      </c>
      <c r="R417" s="95">
        <f t="shared" si="5"/>
        <v>1</v>
      </c>
      <c r="S417" s="95">
        <f t="shared" si="6"/>
        <v>0</v>
      </c>
      <c r="T417" s="95">
        <f t="shared" si="7"/>
        <v>0</v>
      </c>
    </row>
    <row r="418">
      <c r="A418" s="96">
        <v>149.0</v>
      </c>
      <c r="B418" s="97">
        <v>44685.0</v>
      </c>
      <c r="C418" s="96">
        <v>10176.0</v>
      </c>
      <c r="D418" s="98" t="s">
        <v>78</v>
      </c>
      <c r="E418" s="98" t="s">
        <v>159</v>
      </c>
      <c r="F418" s="99">
        <v>0.33125</v>
      </c>
      <c r="G418" s="99">
        <v>0.7166666666666667</v>
      </c>
      <c r="H418" s="101"/>
      <c r="I418" s="92" t="str">
        <f>IFERROR(VLOOKUP(D418,'Công T5'!$C$7:$F$89,4,0),"")</f>
        <v>NV</v>
      </c>
      <c r="J418" s="92">
        <f t="shared" si="8"/>
        <v>0.33125</v>
      </c>
      <c r="K418" s="92">
        <f t="shared" si="1"/>
        <v>0.7166666667</v>
      </c>
      <c r="L418" s="92" t="str">
        <f>IFERROR(VLOOKUP(D418,'Công T5'!$C$7:$F$89,2,0),"")</f>
        <v/>
      </c>
      <c r="M418" s="92" t="str">
        <f>IFERROR(VLOOKUP(D418,'Công T5'!$C$7:$F$89,3,0),"")</f>
        <v/>
      </c>
      <c r="N418" s="92">
        <f t="shared" si="9"/>
        <v>0.3333333333</v>
      </c>
      <c r="O418" s="92">
        <f t="shared" si="2"/>
        <v>0.7083333333</v>
      </c>
      <c r="P418" s="94">
        <f t="shared" si="3"/>
        <v>0.5</v>
      </c>
      <c r="Q418" s="94">
        <f t="shared" si="4"/>
        <v>0.5</v>
      </c>
      <c r="R418" s="95">
        <f t="shared" si="5"/>
        <v>1</v>
      </c>
      <c r="S418" s="95">
        <f t="shared" si="6"/>
        <v>0</v>
      </c>
      <c r="T418" s="95">
        <f t="shared" si="7"/>
        <v>0</v>
      </c>
    </row>
    <row r="419">
      <c r="A419" s="96">
        <v>150.0</v>
      </c>
      <c r="B419" s="97">
        <v>44686.0</v>
      </c>
      <c r="C419" s="96">
        <v>10176.0</v>
      </c>
      <c r="D419" s="98" t="s">
        <v>78</v>
      </c>
      <c r="E419" s="98" t="s">
        <v>159</v>
      </c>
      <c r="F419" s="99">
        <v>0.32569444444444445</v>
      </c>
      <c r="G419" s="99">
        <v>0.675</v>
      </c>
      <c r="H419" s="101"/>
      <c r="I419" s="92" t="str">
        <f>IFERROR(VLOOKUP(D419,'Công T5'!$C$7:$F$89,4,0),"")</f>
        <v>NV</v>
      </c>
      <c r="J419" s="92">
        <f t="shared" si="8"/>
        <v>0.3256944444</v>
      </c>
      <c r="K419" s="92">
        <f t="shared" si="1"/>
        <v>0.675</v>
      </c>
      <c r="L419" s="92" t="str">
        <f>IFERROR(VLOOKUP(D419,'Công T5'!$C$7:$F$89,2,0),"")</f>
        <v/>
      </c>
      <c r="M419" s="92" t="str">
        <f>IFERROR(VLOOKUP(D419,'Công T5'!$C$7:$F$89,3,0),"")</f>
        <v/>
      </c>
      <c r="N419" s="92">
        <f t="shared" si="9"/>
        <v>0.3333333333</v>
      </c>
      <c r="O419" s="92">
        <f t="shared" si="2"/>
        <v>0.675</v>
      </c>
      <c r="P419" s="94">
        <f t="shared" si="3"/>
        <v>0.5</v>
      </c>
      <c r="Q419" s="94">
        <f t="shared" si="4"/>
        <v>0.4</v>
      </c>
      <c r="R419" s="95">
        <f t="shared" si="5"/>
        <v>0.9</v>
      </c>
      <c r="S419" s="95">
        <f t="shared" si="6"/>
        <v>0</v>
      </c>
      <c r="T419" s="95">
        <f t="shared" si="7"/>
        <v>0</v>
      </c>
    </row>
    <row r="420">
      <c r="A420" s="96">
        <v>151.0</v>
      </c>
      <c r="B420" s="97">
        <v>44687.0</v>
      </c>
      <c r="C420" s="96">
        <v>10176.0</v>
      </c>
      <c r="D420" s="98" t="s">
        <v>78</v>
      </c>
      <c r="E420" s="98" t="s">
        <v>159</v>
      </c>
      <c r="F420" s="99">
        <v>0.325</v>
      </c>
      <c r="G420" s="99">
        <v>0.7222222222222222</v>
      </c>
      <c r="H420" s="101"/>
      <c r="I420" s="92" t="str">
        <f>IFERROR(VLOOKUP(D420,'Công T5'!$C$7:$F$89,4,0),"")</f>
        <v>NV</v>
      </c>
      <c r="J420" s="92">
        <f t="shared" si="8"/>
        <v>0.325</v>
      </c>
      <c r="K420" s="92">
        <f t="shared" si="1"/>
        <v>0.7222222222</v>
      </c>
      <c r="L420" s="92" t="str">
        <f>IFERROR(VLOOKUP(D420,'Công T5'!$C$7:$F$89,2,0),"")</f>
        <v/>
      </c>
      <c r="M420" s="92" t="str">
        <f>IFERROR(VLOOKUP(D420,'Công T5'!$C$7:$F$89,3,0),"")</f>
        <v/>
      </c>
      <c r="N420" s="92">
        <f t="shared" si="9"/>
        <v>0.3333333333</v>
      </c>
      <c r="O420" s="92">
        <f t="shared" si="2"/>
        <v>0.7083333333</v>
      </c>
      <c r="P420" s="94">
        <f t="shared" si="3"/>
        <v>0.5</v>
      </c>
      <c r="Q420" s="94">
        <f t="shared" si="4"/>
        <v>0.5</v>
      </c>
      <c r="R420" s="95">
        <f t="shared" si="5"/>
        <v>1</v>
      </c>
      <c r="S420" s="95">
        <f t="shared" si="6"/>
        <v>0</v>
      </c>
      <c r="T420" s="95">
        <f t="shared" si="7"/>
        <v>0</v>
      </c>
    </row>
    <row r="421">
      <c r="A421" s="96">
        <v>152.0</v>
      </c>
      <c r="B421" s="97">
        <v>44688.0</v>
      </c>
      <c r="C421" s="96">
        <v>10176.0</v>
      </c>
      <c r="D421" s="98" t="s">
        <v>78</v>
      </c>
      <c r="E421" s="98" t="s">
        <v>159</v>
      </c>
      <c r="F421" s="99">
        <v>0.3194444444444444</v>
      </c>
      <c r="G421" s="99">
        <v>0.7166666666666667</v>
      </c>
      <c r="H421" s="101"/>
      <c r="I421" s="92" t="str">
        <f>IFERROR(VLOOKUP(D421,'Công T5'!$C$7:$F$89,4,0),"")</f>
        <v>NV</v>
      </c>
      <c r="J421" s="92">
        <f t="shared" si="8"/>
        <v>0.3194444444</v>
      </c>
      <c r="K421" s="92">
        <f t="shared" si="1"/>
        <v>0.7166666667</v>
      </c>
      <c r="L421" s="92" t="str">
        <f>IFERROR(VLOOKUP(D421,'Công T5'!$C$7:$F$89,2,0),"")</f>
        <v/>
      </c>
      <c r="M421" s="92" t="str">
        <f>IFERROR(VLOOKUP(D421,'Công T5'!$C$7:$F$89,3,0),"")</f>
        <v/>
      </c>
      <c r="N421" s="92">
        <f t="shared" si="9"/>
        <v>0.3333333333</v>
      </c>
      <c r="O421" s="92">
        <f t="shared" si="2"/>
        <v>0.7083333333</v>
      </c>
      <c r="P421" s="94">
        <f t="shared" si="3"/>
        <v>0.5</v>
      </c>
      <c r="Q421" s="94">
        <f t="shared" si="4"/>
        <v>0.5</v>
      </c>
      <c r="R421" s="95">
        <f t="shared" si="5"/>
        <v>1</v>
      </c>
      <c r="S421" s="95">
        <f t="shared" si="6"/>
        <v>0</v>
      </c>
      <c r="T421" s="95">
        <f t="shared" si="7"/>
        <v>0</v>
      </c>
    </row>
    <row r="422">
      <c r="A422" s="96">
        <v>153.0</v>
      </c>
      <c r="B422" s="97">
        <v>44690.0</v>
      </c>
      <c r="C422" s="96">
        <v>10176.0</v>
      </c>
      <c r="D422" s="98" t="s">
        <v>78</v>
      </c>
      <c r="E422" s="98" t="s">
        <v>159</v>
      </c>
      <c r="F422" s="99">
        <v>0.3263888888888889</v>
      </c>
      <c r="G422" s="99">
        <v>0.7173611111111111</v>
      </c>
      <c r="H422" s="101"/>
      <c r="I422" s="92" t="str">
        <f>IFERROR(VLOOKUP(D422,'Công T5'!$C$7:$F$89,4,0),"")</f>
        <v>NV</v>
      </c>
      <c r="J422" s="92">
        <f t="shared" si="8"/>
        <v>0.3263888889</v>
      </c>
      <c r="K422" s="92">
        <f t="shared" si="1"/>
        <v>0.7173611111</v>
      </c>
      <c r="L422" s="92" t="str">
        <f>IFERROR(VLOOKUP(D422,'Công T5'!$C$7:$F$89,2,0),"")</f>
        <v/>
      </c>
      <c r="M422" s="92" t="str">
        <f>IFERROR(VLOOKUP(D422,'Công T5'!$C$7:$F$89,3,0),"")</f>
        <v/>
      </c>
      <c r="N422" s="92">
        <f t="shared" si="9"/>
        <v>0.3333333333</v>
      </c>
      <c r="O422" s="92">
        <f t="shared" si="2"/>
        <v>0.7083333333</v>
      </c>
      <c r="P422" s="94">
        <f t="shared" si="3"/>
        <v>0.5</v>
      </c>
      <c r="Q422" s="94">
        <f t="shared" si="4"/>
        <v>0.5</v>
      </c>
      <c r="R422" s="95">
        <f t="shared" si="5"/>
        <v>1</v>
      </c>
      <c r="S422" s="95">
        <f t="shared" si="6"/>
        <v>0</v>
      </c>
      <c r="T422" s="95">
        <f t="shared" si="7"/>
        <v>0</v>
      </c>
    </row>
    <row r="423">
      <c r="A423" s="96">
        <v>154.0</v>
      </c>
      <c r="B423" s="103">
        <v>44691.0</v>
      </c>
      <c r="C423" s="96">
        <v>10176.0</v>
      </c>
      <c r="D423" s="98" t="s">
        <v>78</v>
      </c>
      <c r="E423" s="98" t="s">
        <v>159</v>
      </c>
      <c r="F423" s="99">
        <v>0.32569444444444445</v>
      </c>
      <c r="G423" s="99">
        <v>0.7256944444444444</v>
      </c>
      <c r="H423" s="101"/>
      <c r="I423" s="92" t="str">
        <f>IFERROR(VLOOKUP(D423,'Công T5'!$C$7:$F$89,4,0),"")</f>
        <v>NV</v>
      </c>
      <c r="J423" s="92">
        <f t="shared" si="8"/>
        <v>0.3256944444</v>
      </c>
      <c r="K423" s="92">
        <f t="shared" si="1"/>
        <v>0.7256944444</v>
      </c>
      <c r="L423" s="92" t="str">
        <f>IFERROR(VLOOKUP(D423,'Công T5'!$C$7:$F$89,2,0),"")</f>
        <v/>
      </c>
      <c r="M423" s="92" t="str">
        <f>IFERROR(VLOOKUP(D423,'Công T5'!$C$7:$F$89,3,0),"")</f>
        <v/>
      </c>
      <c r="N423" s="92">
        <f t="shared" si="9"/>
        <v>0.3333333333</v>
      </c>
      <c r="O423" s="92">
        <f t="shared" si="2"/>
        <v>0.7083333333</v>
      </c>
      <c r="P423" s="94">
        <f t="shared" si="3"/>
        <v>0.5</v>
      </c>
      <c r="Q423" s="94">
        <f t="shared" si="4"/>
        <v>0.5</v>
      </c>
      <c r="R423" s="95">
        <f t="shared" si="5"/>
        <v>1</v>
      </c>
      <c r="S423" s="95">
        <f t="shared" si="6"/>
        <v>0</v>
      </c>
      <c r="T423" s="95">
        <f t="shared" si="7"/>
        <v>0</v>
      </c>
    </row>
    <row r="424">
      <c r="A424" s="96">
        <v>155.0</v>
      </c>
      <c r="B424" s="97">
        <v>44692.0</v>
      </c>
      <c r="C424" s="96">
        <v>10176.0</v>
      </c>
      <c r="D424" s="98" t="s">
        <v>78</v>
      </c>
      <c r="E424" s="98" t="s">
        <v>159</v>
      </c>
      <c r="F424" s="99">
        <v>0.30972222222222223</v>
      </c>
      <c r="G424" s="99">
        <v>0.5243055555555556</v>
      </c>
      <c r="H424" s="101"/>
      <c r="I424" s="92" t="str">
        <f>IFERROR(VLOOKUP(D424,'Công T5'!$C$7:$F$89,4,0),"")</f>
        <v>NV</v>
      </c>
      <c r="J424" s="92">
        <f t="shared" si="8"/>
        <v>0.3097222222</v>
      </c>
      <c r="K424" s="92">
        <f t="shared" si="1"/>
        <v>0.5243055556</v>
      </c>
      <c r="L424" s="92" t="str">
        <f>IFERROR(VLOOKUP(D424,'Công T5'!$C$7:$F$89,2,0),"")</f>
        <v/>
      </c>
      <c r="M424" s="92" t="str">
        <f>IFERROR(VLOOKUP(D424,'Công T5'!$C$7:$F$89,3,0),"")</f>
        <v/>
      </c>
      <c r="N424" s="92">
        <f t="shared" si="9"/>
        <v>0.3333333333</v>
      </c>
      <c r="O424" s="92">
        <f t="shared" si="2"/>
        <v>0.5</v>
      </c>
      <c r="P424" s="94">
        <f t="shared" si="3"/>
        <v>0.5</v>
      </c>
      <c r="Q424" s="94">
        <f t="shared" si="4"/>
        <v>0</v>
      </c>
      <c r="R424" s="95">
        <f t="shared" si="5"/>
        <v>0.5</v>
      </c>
      <c r="S424" s="95">
        <f t="shared" si="6"/>
        <v>0</v>
      </c>
      <c r="T424" s="95">
        <f t="shared" si="7"/>
        <v>0</v>
      </c>
    </row>
    <row r="425">
      <c r="A425" s="96">
        <v>156.0</v>
      </c>
      <c r="B425" s="97">
        <v>44694.0</v>
      </c>
      <c r="C425" s="96">
        <v>10176.0</v>
      </c>
      <c r="D425" s="98" t="s">
        <v>78</v>
      </c>
      <c r="E425" s="98" t="s">
        <v>159</v>
      </c>
      <c r="F425" s="99">
        <v>0.7270833333333333</v>
      </c>
      <c r="G425" s="102"/>
      <c r="H425" s="101"/>
      <c r="I425" s="92" t="str">
        <f>IFERROR(VLOOKUP(D425,'Công T5'!$C$7:$F$89,4,0),"")</f>
        <v>NV</v>
      </c>
      <c r="J425" s="92">
        <f t="shared" si="8"/>
        <v>0.7270833333</v>
      </c>
      <c r="K425" s="92" t="str">
        <f t="shared" si="1"/>
        <v/>
      </c>
      <c r="L425" s="92" t="str">
        <f>IFERROR(VLOOKUP(D425,'Công T5'!$C$7:$F$89,2,0),"")</f>
        <v/>
      </c>
      <c r="M425" s="92" t="str">
        <f>IFERROR(VLOOKUP(D425,'Công T5'!$C$7:$F$89,3,0),"")</f>
        <v/>
      </c>
      <c r="N425" s="92">
        <f t="shared" si="9"/>
        <v>0.7270833333</v>
      </c>
      <c r="O425" s="92" t="str">
        <f t="shared" si="2"/>
        <v/>
      </c>
      <c r="P425" s="94">
        <f t="shared" si="3"/>
        <v>0</v>
      </c>
      <c r="Q425" s="94" t="str">
        <f t="shared" si="4"/>
        <v/>
      </c>
      <c r="R425" s="95">
        <f t="shared" si="5"/>
        <v>0.5</v>
      </c>
      <c r="S425" s="95" t="str">
        <f t="shared" si="6"/>
        <v/>
      </c>
      <c r="T425" s="95">
        <f t="shared" si="7"/>
        <v>1</v>
      </c>
    </row>
    <row r="426">
      <c r="A426" s="96">
        <v>157.0</v>
      </c>
      <c r="B426" s="97">
        <v>44697.0</v>
      </c>
      <c r="C426" s="96">
        <v>10176.0</v>
      </c>
      <c r="D426" s="98" t="s">
        <v>78</v>
      </c>
      <c r="E426" s="98" t="s">
        <v>159</v>
      </c>
      <c r="F426" s="99">
        <v>0.44930555555555557</v>
      </c>
      <c r="G426" s="99">
        <v>0.7125</v>
      </c>
      <c r="H426" s="101"/>
      <c r="I426" s="92" t="str">
        <f>IFERROR(VLOOKUP(D426,'Công T5'!$C$7:$F$89,4,0),"")</f>
        <v>NV</v>
      </c>
      <c r="J426" s="92">
        <f t="shared" si="8"/>
        <v>0.4493055556</v>
      </c>
      <c r="K426" s="92">
        <f t="shared" si="1"/>
        <v>0.7125</v>
      </c>
      <c r="L426" s="92" t="str">
        <f>IFERROR(VLOOKUP(D426,'Công T5'!$C$7:$F$89,2,0),"")</f>
        <v/>
      </c>
      <c r="M426" s="92" t="str">
        <f>IFERROR(VLOOKUP(D426,'Công T5'!$C$7:$F$89,3,0),"")</f>
        <v/>
      </c>
      <c r="N426" s="92">
        <f t="shared" si="9"/>
        <v>0.4493055556</v>
      </c>
      <c r="O426" s="92">
        <f t="shared" si="2"/>
        <v>0.7083333333</v>
      </c>
      <c r="P426" s="94">
        <f t="shared" si="3"/>
        <v>0.1520833333</v>
      </c>
      <c r="Q426" s="94">
        <f t="shared" si="4"/>
        <v>0.5</v>
      </c>
      <c r="R426" s="95">
        <f t="shared" si="5"/>
        <v>0.6520833333</v>
      </c>
      <c r="S426" s="95">
        <f t="shared" si="6"/>
        <v>1</v>
      </c>
      <c r="T426" s="95">
        <f t="shared" si="7"/>
        <v>0</v>
      </c>
    </row>
    <row r="427">
      <c r="A427" s="96">
        <v>158.0</v>
      </c>
      <c r="B427" s="97">
        <v>44698.0</v>
      </c>
      <c r="C427" s="96">
        <v>10176.0</v>
      </c>
      <c r="D427" s="98" t="s">
        <v>78</v>
      </c>
      <c r="E427" s="98" t="s">
        <v>159</v>
      </c>
      <c r="F427" s="99">
        <v>0.3284722222222222</v>
      </c>
      <c r="G427" s="99">
        <v>0.7145833333333333</v>
      </c>
      <c r="H427" s="101"/>
      <c r="I427" s="92" t="str">
        <f>IFERROR(VLOOKUP(D427,'Công T5'!$C$7:$F$89,4,0),"")</f>
        <v>NV</v>
      </c>
      <c r="J427" s="92">
        <f t="shared" si="8"/>
        <v>0.3284722222</v>
      </c>
      <c r="K427" s="92">
        <f t="shared" si="1"/>
        <v>0.7145833333</v>
      </c>
      <c r="L427" s="92" t="str">
        <f>IFERROR(VLOOKUP(D427,'Công T5'!$C$7:$F$89,2,0),"")</f>
        <v/>
      </c>
      <c r="M427" s="92" t="str">
        <f>IFERROR(VLOOKUP(D427,'Công T5'!$C$7:$F$89,3,0),"")</f>
        <v/>
      </c>
      <c r="N427" s="92">
        <f t="shared" si="9"/>
        <v>0.3333333333</v>
      </c>
      <c r="O427" s="92">
        <f t="shared" si="2"/>
        <v>0.7083333333</v>
      </c>
      <c r="P427" s="94">
        <f t="shared" si="3"/>
        <v>0.5</v>
      </c>
      <c r="Q427" s="94">
        <f t="shared" si="4"/>
        <v>0.5</v>
      </c>
      <c r="R427" s="95">
        <f t="shared" si="5"/>
        <v>1</v>
      </c>
      <c r="S427" s="95">
        <f t="shared" si="6"/>
        <v>0</v>
      </c>
      <c r="T427" s="95">
        <f t="shared" si="7"/>
        <v>0</v>
      </c>
    </row>
    <row r="428">
      <c r="A428" s="96">
        <v>159.0</v>
      </c>
      <c r="B428" s="97">
        <v>44699.0</v>
      </c>
      <c r="C428" s="96">
        <v>10176.0</v>
      </c>
      <c r="D428" s="98" t="s">
        <v>78</v>
      </c>
      <c r="E428" s="98" t="s">
        <v>159</v>
      </c>
      <c r="F428" s="99">
        <v>0.33194444444444443</v>
      </c>
      <c r="G428" s="99">
        <v>0.7256944444444444</v>
      </c>
      <c r="H428" s="101"/>
      <c r="I428" s="92" t="str">
        <f>IFERROR(VLOOKUP(D428,'Công T5'!$C$7:$F$89,4,0),"")</f>
        <v>NV</v>
      </c>
      <c r="J428" s="92">
        <f t="shared" si="8"/>
        <v>0.3319444444</v>
      </c>
      <c r="K428" s="92">
        <f t="shared" si="1"/>
        <v>0.7256944444</v>
      </c>
      <c r="L428" s="92" t="str">
        <f>IFERROR(VLOOKUP(D428,'Công T5'!$C$7:$F$89,2,0),"")</f>
        <v/>
      </c>
      <c r="M428" s="92" t="str">
        <f>IFERROR(VLOOKUP(D428,'Công T5'!$C$7:$F$89,3,0),"")</f>
        <v/>
      </c>
      <c r="N428" s="92">
        <f t="shared" si="9"/>
        <v>0.3333333333</v>
      </c>
      <c r="O428" s="92">
        <f t="shared" si="2"/>
        <v>0.7083333333</v>
      </c>
      <c r="P428" s="94">
        <f t="shared" si="3"/>
        <v>0.5</v>
      </c>
      <c r="Q428" s="94">
        <f t="shared" si="4"/>
        <v>0.5</v>
      </c>
      <c r="R428" s="95">
        <f t="shared" si="5"/>
        <v>1</v>
      </c>
      <c r="S428" s="95">
        <f t="shared" si="6"/>
        <v>0</v>
      </c>
      <c r="T428" s="95">
        <f t="shared" si="7"/>
        <v>0</v>
      </c>
    </row>
    <row r="429">
      <c r="A429" s="96">
        <v>160.0</v>
      </c>
      <c r="B429" s="97">
        <v>44700.0</v>
      </c>
      <c r="C429" s="96">
        <v>10176.0</v>
      </c>
      <c r="D429" s="98" t="s">
        <v>78</v>
      </c>
      <c r="E429" s="98" t="s">
        <v>159</v>
      </c>
      <c r="F429" s="99">
        <v>0.33611111111111114</v>
      </c>
      <c r="G429" s="99">
        <v>0.7118055555555556</v>
      </c>
      <c r="H429" s="101"/>
      <c r="I429" s="92" t="str">
        <f>IFERROR(VLOOKUP(D429,'Công T5'!$C$7:$F$89,4,0),"")</f>
        <v>NV</v>
      </c>
      <c r="J429" s="92">
        <f t="shared" si="8"/>
        <v>0.3361111111</v>
      </c>
      <c r="K429" s="92">
        <f t="shared" si="1"/>
        <v>0.7118055556</v>
      </c>
      <c r="L429" s="92" t="str">
        <f>IFERROR(VLOOKUP(D429,'Công T5'!$C$7:$F$89,2,0),"")</f>
        <v/>
      </c>
      <c r="M429" s="92" t="str">
        <f>IFERROR(VLOOKUP(D429,'Công T5'!$C$7:$F$89,3,0),"")</f>
        <v/>
      </c>
      <c r="N429" s="92">
        <f t="shared" si="9"/>
        <v>0.3333333333</v>
      </c>
      <c r="O429" s="92">
        <f t="shared" si="2"/>
        <v>0.7083333333</v>
      </c>
      <c r="P429" s="94">
        <f t="shared" si="3"/>
        <v>0.5</v>
      </c>
      <c r="Q429" s="94">
        <f t="shared" si="4"/>
        <v>0.5</v>
      </c>
      <c r="R429" s="95">
        <f t="shared" si="5"/>
        <v>1</v>
      </c>
      <c r="S429" s="95">
        <f t="shared" si="6"/>
        <v>1</v>
      </c>
      <c r="T429" s="95">
        <f t="shared" si="7"/>
        <v>0</v>
      </c>
    </row>
    <row r="430">
      <c r="A430" s="96">
        <v>161.0</v>
      </c>
      <c r="B430" s="97">
        <v>44701.0</v>
      </c>
      <c r="C430" s="96">
        <v>10176.0</v>
      </c>
      <c r="D430" s="98" t="s">
        <v>78</v>
      </c>
      <c r="E430" s="98" t="s">
        <v>159</v>
      </c>
      <c r="F430" s="99">
        <v>0.32430555555555557</v>
      </c>
      <c r="G430" s="99">
        <v>0.7125</v>
      </c>
      <c r="H430" s="101"/>
      <c r="I430" s="92" t="str">
        <f>IFERROR(VLOOKUP(D430,'Công T5'!$C$7:$F$89,4,0),"")</f>
        <v>NV</v>
      </c>
      <c r="J430" s="92">
        <f t="shared" si="8"/>
        <v>0.3243055556</v>
      </c>
      <c r="K430" s="92">
        <f t="shared" si="1"/>
        <v>0.7125</v>
      </c>
      <c r="L430" s="92" t="str">
        <f>IFERROR(VLOOKUP(D430,'Công T5'!$C$7:$F$89,2,0),"")</f>
        <v/>
      </c>
      <c r="M430" s="92" t="str">
        <f>IFERROR(VLOOKUP(D430,'Công T5'!$C$7:$F$89,3,0),"")</f>
        <v/>
      </c>
      <c r="N430" s="92">
        <f t="shared" si="9"/>
        <v>0.3333333333</v>
      </c>
      <c r="O430" s="92">
        <f t="shared" si="2"/>
        <v>0.7083333333</v>
      </c>
      <c r="P430" s="94">
        <f t="shared" si="3"/>
        <v>0.5</v>
      </c>
      <c r="Q430" s="94">
        <f t="shared" si="4"/>
        <v>0.5</v>
      </c>
      <c r="R430" s="95">
        <f t="shared" si="5"/>
        <v>1</v>
      </c>
      <c r="S430" s="95">
        <f t="shared" si="6"/>
        <v>0</v>
      </c>
      <c r="T430" s="95">
        <f t="shared" si="7"/>
        <v>0</v>
      </c>
    </row>
    <row r="431">
      <c r="A431" s="96">
        <v>162.0</v>
      </c>
      <c r="B431" s="97">
        <v>44702.0</v>
      </c>
      <c r="C431" s="96">
        <v>10176.0</v>
      </c>
      <c r="D431" s="98" t="s">
        <v>78</v>
      </c>
      <c r="E431" s="98" t="s">
        <v>159</v>
      </c>
      <c r="F431" s="99">
        <v>0.3263888888888889</v>
      </c>
      <c r="G431" s="99">
        <v>0.7472222222222222</v>
      </c>
      <c r="H431" s="101"/>
      <c r="I431" s="92" t="str">
        <f>IFERROR(VLOOKUP(D431,'Công T5'!$C$7:$F$89,4,0),"")</f>
        <v>NV</v>
      </c>
      <c r="J431" s="92">
        <f t="shared" si="8"/>
        <v>0.3263888889</v>
      </c>
      <c r="K431" s="92">
        <f t="shared" si="1"/>
        <v>0.7472222222</v>
      </c>
      <c r="L431" s="92" t="str">
        <f>IFERROR(VLOOKUP(D431,'Công T5'!$C$7:$F$89,2,0),"")</f>
        <v/>
      </c>
      <c r="M431" s="92" t="str">
        <f>IFERROR(VLOOKUP(D431,'Công T5'!$C$7:$F$89,3,0),"")</f>
        <v/>
      </c>
      <c r="N431" s="92">
        <f t="shared" si="9"/>
        <v>0.3333333333</v>
      </c>
      <c r="O431" s="92">
        <f t="shared" si="2"/>
        <v>0.7083333333</v>
      </c>
      <c r="P431" s="94">
        <f t="shared" si="3"/>
        <v>0.5</v>
      </c>
      <c r="Q431" s="94">
        <f t="shared" si="4"/>
        <v>0.5</v>
      </c>
      <c r="R431" s="95">
        <f t="shared" si="5"/>
        <v>1</v>
      </c>
      <c r="S431" s="95">
        <f t="shared" si="6"/>
        <v>0</v>
      </c>
      <c r="T431" s="95">
        <f t="shared" si="7"/>
        <v>0</v>
      </c>
    </row>
    <row r="432">
      <c r="A432" s="96">
        <v>163.0</v>
      </c>
      <c r="B432" s="97">
        <v>44704.0</v>
      </c>
      <c r="C432" s="96">
        <v>10176.0</v>
      </c>
      <c r="D432" s="98" t="s">
        <v>78</v>
      </c>
      <c r="E432" s="98" t="s">
        <v>159</v>
      </c>
      <c r="F432" s="99">
        <v>0.32916666666666666</v>
      </c>
      <c r="G432" s="99">
        <v>0.7381944444444445</v>
      </c>
      <c r="H432" s="101"/>
      <c r="I432" s="92" t="str">
        <f>IFERROR(VLOOKUP(D432,'Công T5'!$C$7:$F$89,4,0),"")</f>
        <v>NV</v>
      </c>
      <c r="J432" s="92">
        <f t="shared" si="8"/>
        <v>0.3291666667</v>
      </c>
      <c r="K432" s="92">
        <f t="shared" si="1"/>
        <v>0.7381944444</v>
      </c>
      <c r="L432" s="92" t="str">
        <f>IFERROR(VLOOKUP(D432,'Công T5'!$C$7:$F$89,2,0),"")</f>
        <v/>
      </c>
      <c r="M432" s="92" t="str">
        <f>IFERROR(VLOOKUP(D432,'Công T5'!$C$7:$F$89,3,0),"")</f>
        <v/>
      </c>
      <c r="N432" s="92">
        <f t="shared" si="9"/>
        <v>0.3333333333</v>
      </c>
      <c r="O432" s="92">
        <f t="shared" si="2"/>
        <v>0.7083333333</v>
      </c>
      <c r="P432" s="94">
        <f t="shared" si="3"/>
        <v>0.5</v>
      </c>
      <c r="Q432" s="94">
        <f t="shared" si="4"/>
        <v>0.5</v>
      </c>
      <c r="R432" s="95">
        <f t="shared" si="5"/>
        <v>1</v>
      </c>
      <c r="S432" s="95">
        <f t="shared" si="6"/>
        <v>0</v>
      </c>
      <c r="T432" s="95">
        <f t="shared" si="7"/>
        <v>0</v>
      </c>
    </row>
    <row r="433">
      <c r="A433" s="96">
        <v>164.0</v>
      </c>
      <c r="B433" s="97">
        <v>44705.0</v>
      </c>
      <c r="C433" s="96">
        <v>10176.0</v>
      </c>
      <c r="D433" s="98" t="s">
        <v>78</v>
      </c>
      <c r="E433" s="98" t="s">
        <v>159</v>
      </c>
      <c r="F433" s="99">
        <v>0.3458333333333333</v>
      </c>
      <c r="G433" s="99">
        <v>0.7486111111111111</v>
      </c>
      <c r="H433" s="101"/>
      <c r="I433" s="92" t="str">
        <f>IFERROR(VLOOKUP(D433,'Công T5'!$C$7:$F$89,4,0),"")</f>
        <v>NV</v>
      </c>
      <c r="J433" s="92">
        <f t="shared" si="8"/>
        <v>0.3458333333</v>
      </c>
      <c r="K433" s="92">
        <f t="shared" si="1"/>
        <v>0.7486111111</v>
      </c>
      <c r="L433" s="92" t="str">
        <f>IFERROR(VLOOKUP(D433,'Công T5'!$C$7:$F$89,2,0),"")</f>
        <v/>
      </c>
      <c r="M433" s="92" t="str">
        <f>IFERROR(VLOOKUP(D433,'Công T5'!$C$7:$F$89,3,0),"")</f>
        <v/>
      </c>
      <c r="N433" s="92">
        <f t="shared" si="9"/>
        <v>0.3333333333</v>
      </c>
      <c r="O433" s="92">
        <f t="shared" si="2"/>
        <v>0.7083333333</v>
      </c>
      <c r="P433" s="94">
        <f t="shared" si="3"/>
        <v>0.5</v>
      </c>
      <c r="Q433" s="94">
        <f t="shared" si="4"/>
        <v>0.5</v>
      </c>
      <c r="R433" s="95">
        <f t="shared" si="5"/>
        <v>1</v>
      </c>
      <c r="S433" s="95">
        <f t="shared" si="6"/>
        <v>1</v>
      </c>
      <c r="T433" s="95">
        <f t="shared" si="7"/>
        <v>0</v>
      </c>
    </row>
    <row r="434">
      <c r="A434" s="96">
        <v>165.0</v>
      </c>
      <c r="B434" s="97">
        <v>44706.0</v>
      </c>
      <c r="C434" s="96">
        <v>10176.0</v>
      </c>
      <c r="D434" s="98" t="s">
        <v>78</v>
      </c>
      <c r="E434" s="98" t="s">
        <v>159</v>
      </c>
      <c r="F434" s="99">
        <v>0.3527777777777778</v>
      </c>
      <c r="G434" s="99">
        <v>0.7152777777777778</v>
      </c>
      <c r="H434" s="101"/>
      <c r="I434" s="92" t="str">
        <f>IFERROR(VLOOKUP(D434,'Công T5'!$C$7:$F$89,4,0),"")</f>
        <v>NV</v>
      </c>
      <c r="J434" s="92">
        <f t="shared" si="8"/>
        <v>0.3527777778</v>
      </c>
      <c r="K434" s="92">
        <f t="shared" si="1"/>
        <v>0.7152777778</v>
      </c>
      <c r="L434" s="92" t="str">
        <f>IFERROR(VLOOKUP(D434,'Công T5'!$C$7:$F$89,2,0),"")</f>
        <v/>
      </c>
      <c r="M434" s="92" t="str">
        <f>IFERROR(VLOOKUP(D434,'Công T5'!$C$7:$F$89,3,0),"")</f>
        <v/>
      </c>
      <c r="N434" s="92">
        <f t="shared" si="9"/>
        <v>0.3333333333</v>
      </c>
      <c r="O434" s="92">
        <f t="shared" si="2"/>
        <v>0.7083333333</v>
      </c>
      <c r="P434" s="94">
        <f t="shared" si="3"/>
        <v>0.5</v>
      </c>
      <c r="Q434" s="94">
        <f t="shared" si="4"/>
        <v>0.5</v>
      </c>
      <c r="R434" s="95">
        <f t="shared" si="5"/>
        <v>1</v>
      </c>
      <c r="S434" s="95">
        <f t="shared" si="6"/>
        <v>1</v>
      </c>
      <c r="T434" s="95">
        <f t="shared" si="7"/>
        <v>0</v>
      </c>
    </row>
    <row r="435">
      <c r="A435" s="96">
        <v>166.0</v>
      </c>
      <c r="B435" s="97">
        <v>44677.0</v>
      </c>
      <c r="C435" s="96">
        <v>10189.0</v>
      </c>
      <c r="D435" s="98" t="s">
        <v>84</v>
      </c>
      <c r="E435" s="98" t="s">
        <v>159</v>
      </c>
      <c r="F435" s="99">
        <v>0.33055555555555555</v>
      </c>
      <c r="G435" s="99">
        <v>0.4798611111111111</v>
      </c>
      <c r="H435" s="101"/>
      <c r="I435" s="92" t="str">
        <f>IFERROR(VLOOKUP(D435,'Công T5'!$C$7:$F$89,4,0),"")</f>
        <v>NV</v>
      </c>
      <c r="J435" s="92">
        <f t="shared" si="8"/>
        <v>0.3305555556</v>
      </c>
      <c r="K435" s="92">
        <f t="shared" si="1"/>
        <v>0.7138888889</v>
      </c>
      <c r="L435" s="92" t="str">
        <f>IFERROR(VLOOKUP(D435,'Công T5'!$C$7:$F$89,2,0),"")</f>
        <v/>
      </c>
      <c r="M435" s="92" t="str">
        <f>IFERROR(VLOOKUP(D435,'Công T5'!$C$7:$F$89,3,0),"")</f>
        <v/>
      </c>
      <c r="N435" s="92">
        <f t="shared" si="9"/>
        <v>0.3333333333</v>
      </c>
      <c r="O435" s="92">
        <f t="shared" si="2"/>
        <v>0.7083333333</v>
      </c>
      <c r="P435" s="94">
        <f t="shared" si="3"/>
        <v>0.5</v>
      </c>
      <c r="Q435" s="94">
        <f t="shared" si="4"/>
        <v>0.5</v>
      </c>
      <c r="R435" s="95">
        <f t="shared" si="5"/>
        <v>1</v>
      </c>
      <c r="S435" s="95">
        <f t="shared" si="6"/>
        <v>0</v>
      </c>
      <c r="T435" s="95">
        <f t="shared" si="7"/>
        <v>0</v>
      </c>
    </row>
    <row r="436">
      <c r="A436" s="96">
        <v>167.0</v>
      </c>
      <c r="B436" s="103">
        <v>44677.0</v>
      </c>
      <c r="C436" s="96">
        <v>10189.0</v>
      </c>
      <c r="D436" s="98" t="s">
        <v>84</v>
      </c>
      <c r="E436" s="98" t="s">
        <v>159</v>
      </c>
      <c r="F436" s="99">
        <v>0.5618055555555556</v>
      </c>
      <c r="G436" s="99">
        <v>0.6305555555555555</v>
      </c>
      <c r="H436" s="101"/>
      <c r="I436" s="92" t="str">
        <f>IFERROR(VLOOKUP(D436,'Công T5'!$C$7:$F$89,4,0),"")</f>
        <v>NV</v>
      </c>
      <c r="J436" s="92">
        <f t="shared" si="8"/>
        <v>0.5618055556</v>
      </c>
      <c r="K436" s="92">
        <f t="shared" si="1"/>
        <v>0.7138888889</v>
      </c>
      <c r="L436" s="92" t="str">
        <f>IFERROR(VLOOKUP(D436,'Công T5'!$C$7:$F$89,2,0),"")</f>
        <v/>
      </c>
      <c r="M436" s="92" t="str">
        <f>IFERROR(VLOOKUP(D436,'Công T5'!$C$7:$F$89,3,0),"")</f>
        <v/>
      </c>
      <c r="N436" s="92">
        <f t="shared" si="9"/>
        <v>0.5618055556</v>
      </c>
      <c r="O436" s="92">
        <f t="shared" si="2"/>
        <v>0.7083333333</v>
      </c>
      <c r="P436" s="94">
        <f t="shared" si="3"/>
        <v>0</v>
      </c>
      <c r="Q436" s="94">
        <f t="shared" si="4"/>
        <v>0.5</v>
      </c>
      <c r="R436" s="95">
        <f t="shared" si="5"/>
        <v>0.5</v>
      </c>
      <c r="S436" s="95">
        <f t="shared" si="6"/>
        <v>1</v>
      </c>
      <c r="T436" s="95">
        <f t="shared" si="7"/>
        <v>0</v>
      </c>
    </row>
    <row r="437">
      <c r="A437" s="96">
        <v>168.0</v>
      </c>
      <c r="B437" s="97">
        <v>44677.0</v>
      </c>
      <c r="C437" s="96">
        <v>10189.0</v>
      </c>
      <c r="D437" s="98" t="s">
        <v>84</v>
      </c>
      <c r="E437" s="98" t="s">
        <v>159</v>
      </c>
      <c r="F437" s="99">
        <v>0.7138888888888889</v>
      </c>
      <c r="G437" s="102"/>
      <c r="H437" s="101"/>
      <c r="I437" s="92" t="str">
        <f>IFERROR(VLOOKUP(D437,'Công T5'!$C$7:$F$89,4,0),"")</f>
        <v>NV</v>
      </c>
      <c r="J437" s="92">
        <f t="shared" si="8"/>
        <v>0.7138888889</v>
      </c>
      <c r="K437" s="92" t="str">
        <f t="shared" si="1"/>
        <v/>
      </c>
      <c r="L437" s="92" t="str">
        <f>IFERROR(VLOOKUP(D437,'Công T5'!$C$7:$F$89,2,0),"")</f>
        <v/>
      </c>
      <c r="M437" s="92" t="str">
        <f>IFERROR(VLOOKUP(D437,'Công T5'!$C$7:$F$89,3,0),"")</f>
        <v/>
      </c>
      <c r="N437" s="92">
        <f t="shared" si="9"/>
        <v>0.7138888889</v>
      </c>
      <c r="O437" s="92" t="str">
        <f t="shared" si="2"/>
        <v/>
      </c>
      <c r="P437" s="94">
        <f t="shared" si="3"/>
        <v>0</v>
      </c>
      <c r="Q437" s="94" t="str">
        <f t="shared" si="4"/>
        <v/>
      </c>
      <c r="R437" s="95">
        <f t="shared" si="5"/>
        <v>0.5</v>
      </c>
      <c r="S437" s="95" t="str">
        <f t="shared" si="6"/>
        <v/>
      </c>
      <c r="T437" s="95">
        <f t="shared" si="7"/>
        <v>1</v>
      </c>
    </row>
    <row r="438">
      <c r="A438" s="96">
        <v>169.0</v>
      </c>
      <c r="B438" s="97">
        <v>44678.0</v>
      </c>
      <c r="C438" s="96">
        <v>10189.0</v>
      </c>
      <c r="D438" s="98" t="s">
        <v>84</v>
      </c>
      <c r="E438" s="98" t="s">
        <v>159</v>
      </c>
      <c r="F438" s="99">
        <v>0.33194444444444443</v>
      </c>
      <c r="G438" s="99">
        <v>0.48055555555555557</v>
      </c>
      <c r="H438" s="101"/>
      <c r="I438" s="92" t="str">
        <f>IFERROR(VLOOKUP(D438,'Công T5'!$C$7:$F$89,4,0),"")</f>
        <v>NV</v>
      </c>
      <c r="J438" s="92">
        <f t="shared" si="8"/>
        <v>0.3319444444</v>
      </c>
      <c r="K438" s="92">
        <f t="shared" si="1"/>
        <v>0.7145833333</v>
      </c>
      <c r="L438" s="92" t="str">
        <f>IFERROR(VLOOKUP(D438,'Công T5'!$C$7:$F$89,2,0),"")</f>
        <v/>
      </c>
      <c r="M438" s="92" t="str">
        <f>IFERROR(VLOOKUP(D438,'Công T5'!$C$7:$F$89,3,0),"")</f>
        <v/>
      </c>
      <c r="N438" s="92">
        <f t="shared" si="9"/>
        <v>0.3333333333</v>
      </c>
      <c r="O438" s="92">
        <f t="shared" si="2"/>
        <v>0.7083333333</v>
      </c>
      <c r="P438" s="94">
        <f t="shared" si="3"/>
        <v>0.5</v>
      </c>
      <c r="Q438" s="94">
        <f t="shared" si="4"/>
        <v>0.5</v>
      </c>
      <c r="R438" s="95">
        <f t="shared" si="5"/>
        <v>1</v>
      </c>
      <c r="S438" s="95">
        <f t="shared" si="6"/>
        <v>0</v>
      </c>
      <c r="T438" s="95">
        <f t="shared" si="7"/>
        <v>0</v>
      </c>
    </row>
    <row r="439">
      <c r="A439" s="96">
        <v>170.0</v>
      </c>
      <c r="B439" s="97">
        <v>44678.0</v>
      </c>
      <c r="C439" s="96">
        <v>10189.0</v>
      </c>
      <c r="D439" s="98" t="s">
        <v>84</v>
      </c>
      <c r="E439" s="98" t="s">
        <v>159</v>
      </c>
      <c r="F439" s="99">
        <v>0.5604166666666667</v>
      </c>
      <c r="G439" s="99">
        <v>0.7145833333333333</v>
      </c>
      <c r="H439" s="101"/>
      <c r="I439" s="92" t="str">
        <f>IFERROR(VLOOKUP(D439,'Công T5'!$C$7:$F$89,4,0),"")</f>
        <v>NV</v>
      </c>
      <c r="J439" s="92">
        <f t="shared" si="8"/>
        <v>0.5604166667</v>
      </c>
      <c r="K439" s="92">
        <f t="shared" si="1"/>
        <v>0.7145833333</v>
      </c>
      <c r="L439" s="92" t="str">
        <f>IFERROR(VLOOKUP(D439,'Công T5'!$C$7:$F$89,2,0),"")</f>
        <v/>
      </c>
      <c r="M439" s="92" t="str">
        <f>IFERROR(VLOOKUP(D439,'Công T5'!$C$7:$F$89,3,0),"")</f>
        <v/>
      </c>
      <c r="N439" s="92">
        <f t="shared" si="9"/>
        <v>0.5604166667</v>
      </c>
      <c r="O439" s="92">
        <f t="shared" si="2"/>
        <v>0.7083333333</v>
      </c>
      <c r="P439" s="94">
        <f t="shared" si="3"/>
        <v>0</v>
      </c>
      <c r="Q439" s="94">
        <f t="shared" si="4"/>
        <v>0.5</v>
      </c>
      <c r="R439" s="95">
        <f t="shared" si="5"/>
        <v>0.5</v>
      </c>
      <c r="S439" s="95">
        <f t="shared" si="6"/>
        <v>1</v>
      </c>
      <c r="T439" s="95">
        <f t="shared" si="7"/>
        <v>0</v>
      </c>
    </row>
    <row r="440">
      <c r="A440" s="96">
        <v>171.0</v>
      </c>
      <c r="B440" s="97">
        <v>44679.0</v>
      </c>
      <c r="C440" s="96">
        <v>10189.0</v>
      </c>
      <c r="D440" s="98" t="s">
        <v>84</v>
      </c>
      <c r="E440" s="98" t="s">
        <v>159</v>
      </c>
      <c r="F440" s="99">
        <v>0.3333333333333333</v>
      </c>
      <c r="G440" s="99">
        <v>0.48194444444444445</v>
      </c>
      <c r="H440" s="101"/>
      <c r="I440" s="92" t="str">
        <f>IFERROR(VLOOKUP(D440,'Công T5'!$C$7:$F$89,4,0),"")</f>
        <v>NV</v>
      </c>
      <c r="J440" s="92">
        <f t="shared" si="8"/>
        <v>0.3333333333</v>
      </c>
      <c r="K440" s="92">
        <f t="shared" si="1"/>
        <v>0.7159722222</v>
      </c>
      <c r="L440" s="92" t="str">
        <f>IFERROR(VLOOKUP(D440,'Công T5'!$C$7:$F$89,2,0),"")</f>
        <v/>
      </c>
      <c r="M440" s="92" t="str">
        <f>IFERROR(VLOOKUP(D440,'Công T5'!$C$7:$F$89,3,0),"")</f>
        <v/>
      </c>
      <c r="N440" s="92">
        <f t="shared" si="9"/>
        <v>0.3333333333</v>
      </c>
      <c r="O440" s="92">
        <f t="shared" si="2"/>
        <v>0.7083333333</v>
      </c>
      <c r="P440" s="94">
        <f t="shared" si="3"/>
        <v>0.5</v>
      </c>
      <c r="Q440" s="94">
        <f t="shared" si="4"/>
        <v>0.5</v>
      </c>
      <c r="R440" s="95">
        <f t="shared" si="5"/>
        <v>1</v>
      </c>
      <c r="S440" s="95">
        <f t="shared" si="6"/>
        <v>0</v>
      </c>
      <c r="T440" s="95">
        <f t="shared" si="7"/>
        <v>0</v>
      </c>
    </row>
    <row r="441">
      <c r="A441" s="96">
        <v>172.0</v>
      </c>
      <c r="B441" s="97">
        <v>44679.0</v>
      </c>
      <c r="C441" s="96">
        <v>10189.0</v>
      </c>
      <c r="D441" s="98" t="s">
        <v>84</v>
      </c>
      <c r="E441" s="98" t="s">
        <v>159</v>
      </c>
      <c r="F441" s="99">
        <v>0.5611111111111111</v>
      </c>
      <c r="G441" s="99">
        <v>0.7159722222222222</v>
      </c>
      <c r="H441" s="101"/>
      <c r="I441" s="92" t="str">
        <f>IFERROR(VLOOKUP(D441,'Công T5'!$C$7:$F$89,4,0),"")</f>
        <v>NV</v>
      </c>
      <c r="J441" s="92">
        <f t="shared" si="8"/>
        <v>0.5611111111</v>
      </c>
      <c r="K441" s="92">
        <f t="shared" si="1"/>
        <v>0.7159722222</v>
      </c>
      <c r="L441" s="92" t="str">
        <f>IFERROR(VLOOKUP(D441,'Công T5'!$C$7:$F$89,2,0),"")</f>
        <v/>
      </c>
      <c r="M441" s="92" t="str">
        <f>IFERROR(VLOOKUP(D441,'Công T5'!$C$7:$F$89,3,0),"")</f>
        <v/>
      </c>
      <c r="N441" s="92">
        <f t="shared" si="9"/>
        <v>0.5611111111</v>
      </c>
      <c r="O441" s="92">
        <f t="shared" si="2"/>
        <v>0.7083333333</v>
      </c>
      <c r="P441" s="94">
        <f t="shared" si="3"/>
        <v>0</v>
      </c>
      <c r="Q441" s="94">
        <f t="shared" si="4"/>
        <v>0.5</v>
      </c>
      <c r="R441" s="95">
        <f t="shared" si="5"/>
        <v>0.5</v>
      </c>
      <c r="S441" s="95">
        <f t="shared" si="6"/>
        <v>1</v>
      </c>
      <c r="T441" s="95">
        <f t="shared" si="7"/>
        <v>0</v>
      </c>
    </row>
    <row r="442">
      <c r="A442" s="96">
        <v>173.0</v>
      </c>
      <c r="B442" s="97">
        <v>44680.0</v>
      </c>
      <c r="C442" s="96">
        <v>10189.0</v>
      </c>
      <c r="D442" s="98" t="s">
        <v>84</v>
      </c>
      <c r="E442" s="98" t="s">
        <v>159</v>
      </c>
      <c r="F442" s="99">
        <v>0.3326388888888889</v>
      </c>
      <c r="G442" s="99">
        <v>0.48055555555555557</v>
      </c>
      <c r="H442" s="101"/>
      <c r="I442" s="92" t="str">
        <f>IFERROR(VLOOKUP(D442,'Công T5'!$C$7:$F$89,4,0),"")</f>
        <v>NV</v>
      </c>
      <c r="J442" s="92">
        <f t="shared" si="8"/>
        <v>0.3326388889</v>
      </c>
      <c r="K442" s="92">
        <f t="shared" si="1"/>
        <v>0.7229166667</v>
      </c>
      <c r="L442" s="92" t="str">
        <f>IFERROR(VLOOKUP(D442,'Công T5'!$C$7:$F$89,2,0),"")</f>
        <v/>
      </c>
      <c r="M442" s="92" t="str">
        <f>IFERROR(VLOOKUP(D442,'Công T5'!$C$7:$F$89,3,0),"")</f>
        <v/>
      </c>
      <c r="N442" s="92">
        <f t="shared" si="9"/>
        <v>0.3333333333</v>
      </c>
      <c r="O442" s="92">
        <f t="shared" si="2"/>
        <v>0.7083333333</v>
      </c>
      <c r="P442" s="94">
        <f t="shared" si="3"/>
        <v>0.5</v>
      </c>
      <c r="Q442" s="94">
        <f t="shared" si="4"/>
        <v>0.5</v>
      </c>
      <c r="R442" s="95">
        <f t="shared" si="5"/>
        <v>1</v>
      </c>
      <c r="S442" s="95">
        <f t="shared" si="6"/>
        <v>0</v>
      </c>
      <c r="T442" s="95">
        <f t="shared" si="7"/>
        <v>0</v>
      </c>
    </row>
    <row r="443">
      <c r="A443" s="96">
        <v>174.0</v>
      </c>
      <c r="B443" s="97">
        <v>44680.0</v>
      </c>
      <c r="C443" s="96">
        <v>10189.0</v>
      </c>
      <c r="D443" s="98" t="s">
        <v>84</v>
      </c>
      <c r="E443" s="98" t="s">
        <v>159</v>
      </c>
      <c r="F443" s="99">
        <v>0.5618055555555556</v>
      </c>
      <c r="G443" s="99">
        <v>0.7229166666666667</v>
      </c>
      <c r="H443" s="101"/>
      <c r="I443" s="92" t="str">
        <f>IFERROR(VLOOKUP(D443,'Công T5'!$C$7:$F$89,4,0),"")</f>
        <v>NV</v>
      </c>
      <c r="J443" s="92">
        <f t="shared" si="8"/>
        <v>0.5618055556</v>
      </c>
      <c r="K443" s="92">
        <f t="shared" si="1"/>
        <v>0.7229166667</v>
      </c>
      <c r="L443" s="92" t="str">
        <f>IFERROR(VLOOKUP(D443,'Công T5'!$C$7:$F$89,2,0),"")</f>
        <v/>
      </c>
      <c r="M443" s="92" t="str">
        <f>IFERROR(VLOOKUP(D443,'Công T5'!$C$7:$F$89,3,0),"")</f>
        <v/>
      </c>
      <c r="N443" s="92">
        <f t="shared" si="9"/>
        <v>0.5618055556</v>
      </c>
      <c r="O443" s="92">
        <f t="shared" si="2"/>
        <v>0.7083333333</v>
      </c>
      <c r="P443" s="94">
        <f t="shared" si="3"/>
        <v>0</v>
      </c>
      <c r="Q443" s="94">
        <f t="shared" si="4"/>
        <v>0.5</v>
      </c>
      <c r="R443" s="95">
        <f t="shared" si="5"/>
        <v>0.5</v>
      </c>
      <c r="S443" s="95">
        <f t="shared" si="6"/>
        <v>1</v>
      </c>
      <c r="T443" s="95">
        <f t="shared" si="7"/>
        <v>0</v>
      </c>
    </row>
    <row r="444">
      <c r="A444" s="96">
        <v>175.0</v>
      </c>
      <c r="B444" s="97">
        <v>44685.0</v>
      </c>
      <c r="C444" s="96">
        <v>10189.0</v>
      </c>
      <c r="D444" s="98" t="s">
        <v>84</v>
      </c>
      <c r="E444" s="98" t="s">
        <v>159</v>
      </c>
      <c r="F444" s="99">
        <v>0.3333333333333333</v>
      </c>
      <c r="G444" s="99">
        <v>0.48194444444444445</v>
      </c>
      <c r="H444" s="101"/>
      <c r="I444" s="92" t="str">
        <f>IFERROR(VLOOKUP(D444,'Công T5'!$C$7:$F$89,4,0),"")</f>
        <v>NV</v>
      </c>
      <c r="J444" s="92">
        <f t="shared" si="8"/>
        <v>0.3333333333</v>
      </c>
      <c r="K444" s="92">
        <f t="shared" si="1"/>
        <v>0.7166666667</v>
      </c>
      <c r="L444" s="92" t="str">
        <f>IFERROR(VLOOKUP(D444,'Công T5'!$C$7:$F$89,2,0),"")</f>
        <v/>
      </c>
      <c r="M444" s="92" t="str">
        <f>IFERROR(VLOOKUP(D444,'Công T5'!$C$7:$F$89,3,0),"")</f>
        <v/>
      </c>
      <c r="N444" s="92">
        <f t="shared" si="9"/>
        <v>0.3333333333</v>
      </c>
      <c r="O444" s="92">
        <f t="shared" si="2"/>
        <v>0.7083333333</v>
      </c>
      <c r="P444" s="94">
        <f t="shared" si="3"/>
        <v>0.5</v>
      </c>
      <c r="Q444" s="94">
        <f t="shared" si="4"/>
        <v>0.5</v>
      </c>
      <c r="R444" s="95">
        <f t="shared" si="5"/>
        <v>1</v>
      </c>
      <c r="S444" s="95">
        <f t="shared" si="6"/>
        <v>0</v>
      </c>
      <c r="T444" s="95">
        <f t="shared" si="7"/>
        <v>0</v>
      </c>
    </row>
    <row r="445">
      <c r="A445" s="96">
        <v>176.0</v>
      </c>
      <c r="B445" s="97">
        <v>44685.0</v>
      </c>
      <c r="C445" s="96">
        <v>10189.0</v>
      </c>
      <c r="D445" s="98" t="s">
        <v>84</v>
      </c>
      <c r="E445" s="98" t="s">
        <v>159</v>
      </c>
      <c r="F445" s="99">
        <v>0.5604166666666667</v>
      </c>
      <c r="G445" s="99">
        <v>0.7166666666666667</v>
      </c>
      <c r="H445" s="101"/>
      <c r="I445" s="92" t="str">
        <f>IFERROR(VLOOKUP(D445,'Công T5'!$C$7:$F$89,4,0),"")</f>
        <v>NV</v>
      </c>
      <c r="J445" s="92">
        <f t="shared" si="8"/>
        <v>0.5604166667</v>
      </c>
      <c r="K445" s="92">
        <f t="shared" si="1"/>
        <v>0.7166666667</v>
      </c>
      <c r="L445" s="92" t="str">
        <f>IFERROR(VLOOKUP(D445,'Công T5'!$C$7:$F$89,2,0),"")</f>
        <v/>
      </c>
      <c r="M445" s="92" t="str">
        <f>IFERROR(VLOOKUP(D445,'Công T5'!$C$7:$F$89,3,0),"")</f>
        <v/>
      </c>
      <c r="N445" s="92">
        <f t="shared" si="9"/>
        <v>0.5604166667</v>
      </c>
      <c r="O445" s="92">
        <f t="shared" si="2"/>
        <v>0.7083333333</v>
      </c>
      <c r="P445" s="94">
        <f t="shared" si="3"/>
        <v>0</v>
      </c>
      <c r="Q445" s="94">
        <f t="shared" si="4"/>
        <v>0.5</v>
      </c>
      <c r="R445" s="95">
        <f t="shared" si="5"/>
        <v>0.5</v>
      </c>
      <c r="S445" s="95">
        <f t="shared" si="6"/>
        <v>1</v>
      </c>
      <c r="T445" s="95">
        <f t="shared" si="7"/>
        <v>0</v>
      </c>
    </row>
    <row r="446">
      <c r="A446" s="96">
        <v>177.0</v>
      </c>
      <c r="B446" s="97">
        <v>44686.0</v>
      </c>
      <c r="C446" s="96">
        <v>10189.0</v>
      </c>
      <c r="D446" s="98" t="s">
        <v>84</v>
      </c>
      <c r="E446" s="98" t="s">
        <v>159</v>
      </c>
      <c r="F446" s="99">
        <v>0.3326388888888889</v>
      </c>
      <c r="G446" s="99">
        <v>0.48194444444444445</v>
      </c>
      <c r="H446" s="101"/>
      <c r="I446" s="92" t="str">
        <f>IFERROR(VLOOKUP(D446,'Công T5'!$C$7:$F$89,4,0),"")</f>
        <v>NV</v>
      </c>
      <c r="J446" s="92">
        <f t="shared" si="8"/>
        <v>0.3326388889</v>
      </c>
      <c r="K446" s="92">
        <f t="shared" si="1"/>
        <v>0.7208333333</v>
      </c>
      <c r="L446" s="92" t="str">
        <f>IFERROR(VLOOKUP(D446,'Công T5'!$C$7:$F$89,2,0),"")</f>
        <v/>
      </c>
      <c r="M446" s="92" t="str">
        <f>IFERROR(VLOOKUP(D446,'Công T5'!$C$7:$F$89,3,0),"")</f>
        <v/>
      </c>
      <c r="N446" s="92">
        <f t="shared" si="9"/>
        <v>0.3333333333</v>
      </c>
      <c r="O446" s="92">
        <f t="shared" si="2"/>
        <v>0.7083333333</v>
      </c>
      <c r="P446" s="94">
        <f t="shared" si="3"/>
        <v>0.5</v>
      </c>
      <c r="Q446" s="94">
        <f t="shared" si="4"/>
        <v>0.5</v>
      </c>
      <c r="R446" s="95">
        <f t="shared" si="5"/>
        <v>1</v>
      </c>
      <c r="S446" s="95">
        <f t="shared" si="6"/>
        <v>0</v>
      </c>
      <c r="T446" s="95">
        <f t="shared" si="7"/>
        <v>0</v>
      </c>
    </row>
    <row r="447">
      <c r="A447" s="96">
        <v>178.0</v>
      </c>
      <c r="B447" s="103">
        <v>44686.0</v>
      </c>
      <c r="C447" s="96">
        <v>10189.0</v>
      </c>
      <c r="D447" s="98" t="s">
        <v>84</v>
      </c>
      <c r="E447" s="98" t="s">
        <v>159</v>
      </c>
      <c r="F447" s="99">
        <v>0.5611111111111111</v>
      </c>
      <c r="G447" s="99">
        <v>0.7208333333333333</v>
      </c>
      <c r="H447" s="101"/>
      <c r="I447" s="92" t="str">
        <f>IFERROR(VLOOKUP(D447,'Công T5'!$C$7:$F$89,4,0),"")</f>
        <v>NV</v>
      </c>
      <c r="J447" s="92">
        <f t="shared" si="8"/>
        <v>0.5611111111</v>
      </c>
      <c r="K447" s="92">
        <f t="shared" si="1"/>
        <v>0.7208333333</v>
      </c>
      <c r="L447" s="92" t="str">
        <f>IFERROR(VLOOKUP(D447,'Công T5'!$C$7:$F$89,2,0),"")</f>
        <v/>
      </c>
      <c r="M447" s="92" t="str">
        <f>IFERROR(VLOOKUP(D447,'Công T5'!$C$7:$F$89,3,0),"")</f>
        <v/>
      </c>
      <c r="N447" s="92">
        <f t="shared" si="9"/>
        <v>0.5611111111</v>
      </c>
      <c r="O447" s="92">
        <f t="shared" si="2"/>
        <v>0.7083333333</v>
      </c>
      <c r="P447" s="94">
        <f t="shared" si="3"/>
        <v>0</v>
      </c>
      <c r="Q447" s="94">
        <f t="shared" si="4"/>
        <v>0.5</v>
      </c>
      <c r="R447" s="95">
        <f t="shared" si="5"/>
        <v>0.5</v>
      </c>
      <c r="S447" s="95">
        <f t="shared" si="6"/>
        <v>1</v>
      </c>
      <c r="T447" s="95">
        <f t="shared" si="7"/>
        <v>0</v>
      </c>
    </row>
    <row r="448">
      <c r="A448" s="96">
        <v>179.0</v>
      </c>
      <c r="B448" s="97">
        <v>44690.0</v>
      </c>
      <c r="C448" s="96">
        <v>10189.0</v>
      </c>
      <c r="D448" s="98" t="s">
        <v>84</v>
      </c>
      <c r="E448" s="98" t="s">
        <v>159</v>
      </c>
      <c r="F448" s="99">
        <v>0.33194444444444443</v>
      </c>
      <c r="G448" s="99">
        <v>0.48125</v>
      </c>
      <c r="H448" s="101"/>
      <c r="I448" s="92" t="str">
        <f>IFERROR(VLOOKUP(D448,'Công T5'!$C$7:$F$89,4,0),"")</f>
        <v>NV</v>
      </c>
      <c r="J448" s="92">
        <f t="shared" si="8"/>
        <v>0.3319444444</v>
      </c>
      <c r="K448" s="92">
        <f t="shared" si="1"/>
        <v>0.7180555556</v>
      </c>
      <c r="L448" s="92" t="str">
        <f>IFERROR(VLOOKUP(D448,'Công T5'!$C$7:$F$89,2,0),"")</f>
        <v/>
      </c>
      <c r="M448" s="92" t="str">
        <f>IFERROR(VLOOKUP(D448,'Công T5'!$C$7:$F$89,3,0),"")</f>
        <v/>
      </c>
      <c r="N448" s="92">
        <f t="shared" si="9"/>
        <v>0.3333333333</v>
      </c>
      <c r="O448" s="92">
        <f t="shared" si="2"/>
        <v>0.7083333333</v>
      </c>
      <c r="P448" s="94">
        <f t="shared" si="3"/>
        <v>0.5</v>
      </c>
      <c r="Q448" s="94">
        <f t="shared" si="4"/>
        <v>0.5</v>
      </c>
      <c r="R448" s="95">
        <f t="shared" si="5"/>
        <v>1</v>
      </c>
      <c r="S448" s="95">
        <f t="shared" si="6"/>
        <v>0</v>
      </c>
      <c r="T448" s="95">
        <f t="shared" si="7"/>
        <v>0</v>
      </c>
    </row>
    <row r="449">
      <c r="A449" s="96">
        <v>180.0</v>
      </c>
      <c r="B449" s="97">
        <v>44690.0</v>
      </c>
      <c r="C449" s="96">
        <v>10189.0</v>
      </c>
      <c r="D449" s="98" t="s">
        <v>84</v>
      </c>
      <c r="E449" s="98" t="s">
        <v>159</v>
      </c>
      <c r="F449" s="99">
        <v>0.5618055555555556</v>
      </c>
      <c r="G449" s="99">
        <v>0.7180555555555556</v>
      </c>
      <c r="H449" s="101"/>
      <c r="I449" s="92" t="str">
        <f>IFERROR(VLOOKUP(D449,'Công T5'!$C$7:$F$89,4,0),"")</f>
        <v>NV</v>
      </c>
      <c r="J449" s="92">
        <f t="shared" si="8"/>
        <v>0.5618055556</v>
      </c>
      <c r="K449" s="92">
        <f t="shared" si="1"/>
        <v>0.7180555556</v>
      </c>
      <c r="L449" s="92" t="str">
        <f>IFERROR(VLOOKUP(D449,'Công T5'!$C$7:$F$89,2,0),"")</f>
        <v/>
      </c>
      <c r="M449" s="92" t="str">
        <f>IFERROR(VLOOKUP(D449,'Công T5'!$C$7:$F$89,3,0),"")</f>
        <v/>
      </c>
      <c r="N449" s="92">
        <f t="shared" si="9"/>
        <v>0.5618055556</v>
      </c>
      <c r="O449" s="92">
        <f t="shared" si="2"/>
        <v>0.7083333333</v>
      </c>
      <c r="P449" s="94">
        <f t="shared" si="3"/>
        <v>0</v>
      </c>
      <c r="Q449" s="94">
        <f t="shared" si="4"/>
        <v>0.5</v>
      </c>
      <c r="R449" s="95">
        <f t="shared" si="5"/>
        <v>0.5</v>
      </c>
      <c r="S449" s="95">
        <f t="shared" si="6"/>
        <v>1</v>
      </c>
      <c r="T449" s="95">
        <f t="shared" si="7"/>
        <v>0</v>
      </c>
    </row>
    <row r="450">
      <c r="A450" s="96">
        <v>181.0</v>
      </c>
      <c r="B450" s="97">
        <v>44691.0</v>
      </c>
      <c r="C450" s="96">
        <v>10189.0</v>
      </c>
      <c r="D450" s="98" t="s">
        <v>84</v>
      </c>
      <c r="E450" s="98" t="s">
        <v>159</v>
      </c>
      <c r="F450" s="99">
        <v>0.3326388888888889</v>
      </c>
      <c r="G450" s="99">
        <v>0.48194444444444445</v>
      </c>
      <c r="H450" s="101"/>
      <c r="I450" s="92" t="str">
        <f>IFERROR(VLOOKUP(D450,'Công T5'!$C$7:$F$89,4,0),"")</f>
        <v>NV</v>
      </c>
      <c r="J450" s="92">
        <f t="shared" si="8"/>
        <v>0.3326388889</v>
      </c>
      <c r="K450" s="92">
        <f t="shared" si="1"/>
        <v>0.7263888889</v>
      </c>
      <c r="L450" s="92" t="str">
        <f>IFERROR(VLOOKUP(D450,'Công T5'!$C$7:$F$89,2,0),"")</f>
        <v/>
      </c>
      <c r="M450" s="92" t="str">
        <f>IFERROR(VLOOKUP(D450,'Công T5'!$C$7:$F$89,3,0),"")</f>
        <v/>
      </c>
      <c r="N450" s="92">
        <f t="shared" si="9"/>
        <v>0.3333333333</v>
      </c>
      <c r="O450" s="92">
        <f t="shared" si="2"/>
        <v>0.7083333333</v>
      </c>
      <c r="P450" s="94">
        <f t="shared" si="3"/>
        <v>0.5</v>
      </c>
      <c r="Q450" s="94">
        <f t="shared" si="4"/>
        <v>0.5</v>
      </c>
      <c r="R450" s="95">
        <f t="shared" si="5"/>
        <v>1</v>
      </c>
      <c r="S450" s="95">
        <f t="shared" si="6"/>
        <v>0</v>
      </c>
      <c r="T450" s="95">
        <f t="shared" si="7"/>
        <v>0</v>
      </c>
    </row>
    <row r="451">
      <c r="A451" s="96">
        <v>182.0</v>
      </c>
      <c r="B451" s="97">
        <v>44691.0</v>
      </c>
      <c r="C451" s="96">
        <v>10189.0</v>
      </c>
      <c r="D451" s="98" t="s">
        <v>84</v>
      </c>
      <c r="E451" s="98" t="s">
        <v>159</v>
      </c>
      <c r="F451" s="99">
        <v>0.5618055555555556</v>
      </c>
      <c r="G451" s="99">
        <v>0.7263888888888889</v>
      </c>
      <c r="H451" s="101"/>
      <c r="I451" s="92" t="str">
        <f>IFERROR(VLOOKUP(D451,'Công T5'!$C$7:$F$89,4,0),"")</f>
        <v>NV</v>
      </c>
      <c r="J451" s="92">
        <f t="shared" si="8"/>
        <v>0.5618055556</v>
      </c>
      <c r="K451" s="92">
        <f t="shared" si="1"/>
        <v>0.7263888889</v>
      </c>
      <c r="L451" s="92" t="str">
        <f>IFERROR(VLOOKUP(D451,'Công T5'!$C$7:$F$89,2,0),"")</f>
        <v/>
      </c>
      <c r="M451" s="92" t="str">
        <f>IFERROR(VLOOKUP(D451,'Công T5'!$C$7:$F$89,3,0),"")</f>
        <v/>
      </c>
      <c r="N451" s="92">
        <f t="shared" si="9"/>
        <v>0.5618055556</v>
      </c>
      <c r="O451" s="92">
        <f t="shared" si="2"/>
        <v>0.7083333333</v>
      </c>
      <c r="P451" s="94">
        <f t="shared" si="3"/>
        <v>0</v>
      </c>
      <c r="Q451" s="94">
        <f t="shared" si="4"/>
        <v>0.5</v>
      </c>
      <c r="R451" s="95">
        <f t="shared" si="5"/>
        <v>0.5</v>
      </c>
      <c r="S451" s="95">
        <f t="shared" si="6"/>
        <v>1</v>
      </c>
      <c r="T451" s="95">
        <f t="shared" si="7"/>
        <v>0</v>
      </c>
    </row>
    <row r="452">
      <c r="A452" s="96">
        <v>183.0</v>
      </c>
      <c r="B452" s="97">
        <v>44692.0</v>
      </c>
      <c r="C452" s="96">
        <v>10189.0</v>
      </c>
      <c r="D452" s="98" t="s">
        <v>84</v>
      </c>
      <c r="E452" s="98" t="s">
        <v>159</v>
      </c>
      <c r="F452" s="99">
        <v>0.3326388888888889</v>
      </c>
      <c r="G452" s="99">
        <v>0.48055555555555557</v>
      </c>
      <c r="H452" s="101"/>
      <c r="I452" s="92" t="str">
        <f>IFERROR(VLOOKUP(D452,'Công T5'!$C$7:$F$89,4,0),"")</f>
        <v>NV</v>
      </c>
      <c r="J452" s="92">
        <f t="shared" si="8"/>
        <v>0.3326388889</v>
      </c>
      <c r="K452" s="92">
        <f t="shared" si="1"/>
        <v>0.725</v>
      </c>
      <c r="L452" s="92" t="str">
        <f>IFERROR(VLOOKUP(D452,'Công T5'!$C$7:$F$89,2,0),"")</f>
        <v/>
      </c>
      <c r="M452" s="92" t="str">
        <f>IFERROR(VLOOKUP(D452,'Công T5'!$C$7:$F$89,3,0),"")</f>
        <v/>
      </c>
      <c r="N452" s="92">
        <f t="shared" si="9"/>
        <v>0.3333333333</v>
      </c>
      <c r="O452" s="92">
        <f t="shared" si="2"/>
        <v>0.7083333333</v>
      </c>
      <c r="P452" s="94">
        <f t="shared" si="3"/>
        <v>0.5</v>
      </c>
      <c r="Q452" s="94">
        <f t="shared" si="4"/>
        <v>0.5</v>
      </c>
      <c r="R452" s="95">
        <f t="shared" si="5"/>
        <v>1</v>
      </c>
      <c r="S452" s="95">
        <f t="shared" si="6"/>
        <v>0</v>
      </c>
      <c r="T452" s="95">
        <f t="shared" si="7"/>
        <v>0</v>
      </c>
    </row>
    <row r="453">
      <c r="A453" s="96">
        <v>184.0</v>
      </c>
      <c r="B453" s="103">
        <v>44692.0</v>
      </c>
      <c r="C453" s="96">
        <v>10189.0</v>
      </c>
      <c r="D453" s="98" t="s">
        <v>84</v>
      </c>
      <c r="E453" s="98" t="s">
        <v>159</v>
      </c>
      <c r="F453" s="99">
        <v>0.5618055555555556</v>
      </c>
      <c r="G453" s="99">
        <v>0.725</v>
      </c>
      <c r="H453" s="101"/>
      <c r="I453" s="92" t="str">
        <f>IFERROR(VLOOKUP(D453,'Công T5'!$C$7:$F$89,4,0),"")</f>
        <v>NV</v>
      </c>
      <c r="J453" s="92">
        <f t="shared" si="8"/>
        <v>0.5618055556</v>
      </c>
      <c r="K453" s="92">
        <f t="shared" si="1"/>
        <v>0.725</v>
      </c>
      <c r="L453" s="92" t="str">
        <f>IFERROR(VLOOKUP(D453,'Công T5'!$C$7:$F$89,2,0),"")</f>
        <v/>
      </c>
      <c r="M453" s="92" t="str">
        <f>IFERROR(VLOOKUP(D453,'Công T5'!$C$7:$F$89,3,0),"")</f>
        <v/>
      </c>
      <c r="N453" s="92">
        <f t="shared" si="9"/>
        <v>0.5618055556</v>
      </c>
      <c r="O453" s="92">
        <f t="shared" si="2"/>
        <v>0.7083333333</v>
      </c>
      <c r="P453" s="94">
        <f t="shared" si="3"/>
        <v>0</v>
      </c>
      <c r="Q453" s="94">
        <f t="shared" si="4"/>
        <v>0.5</v>
      </c>
      <c r="R453" s="95">
        <f t="shared" si="5"/>
        <v>0.5</v>
      </c>
      <c r="S453" s="95">
        <f t="shared" si="6"/>
        <v>1</v>
      </c>
      <c r="T453" s="95">
        <f t="shared" si="7"/>
        <v>0</v>
      </c>
    </row>
    <row r="454">
      <c r="A454" s="96">
        <v>185.0</v>
      </c>
      <c r="B454" s="97">
        <v>44693.0</v>
      </c>
      <c r="C454" s="96">
        <v>10189.0</v>
      </c>
      <c r="D454" s="98" t="s">
        <v>84</v>
      </c>
      <c r="E454" s="98" t="s">
        <v>159</v>
      </c>
      <c r="F454" s="99">
        <v>0.33194444444444443</v>
      </c>
      <c r="G454" s="99">
        <v>0.48055555555555557</v>
      </c>
      <c r="H454" s="101"/>
      <c r="I454" s="92" t="str">
        <f>IFERROR(VLOOKUP(D454,'Công T5'!$C$7:$F$89,4,0),"")</f>
        <v>NV</v>
      </c>
      <c r="J454" s="92">
        <f t="shared" si="8"/>
        <v>0.3319444444</v>
      </c>
      <c r="K454" s="92">
        <f t="shared" si="1"/>
        <v>0.7208333333</v>
      </c>
      <c r="L454" s="92" t="str">
        <f>IFERROR(VLOOKUP(D454,'Công T5'!$C$7:$F$89,2,0),"")</f>
        <v/>
      </c>
      <c r="M454" s="92" t="str">
        <f>IFERROR(VLOOKUP(D454,'Công T5'!$C$7:$F$89,3,0),"")</f>
        <v/>
      </c>
      <c r="N454" s="92">
        <f t="shared" si="9"/>
        <v>0.3333333333</v>
      </c>
      <c r="O454" s="92">
        <f t="shared" si="2"/>
        <v>0.7083333333</v>
      </c>
      <c r="P454" s="94">
        <f t="shared" si="3"/>
        <v>0.5</v>
      </c>
      <c r="Q454" s="94">
        <f t="shared" si="4"/>
        <v>0.5</v>
      </c>
      <c r="R454" s="95">
        <f t="shared" si="5"/>
        <v>1</v>
      </c>
      <c r="S454" s="95">
        <f t="shared" si="6"/>
        <v>0</v>
      </c>
      <c r="T454" s="95">
        <f t="shared" si="7"/>
        <v>0</v>
      </c>
    </row>
    <row r="455">
      <c r="A455" s="96">
        <v>186.0</v>
      </c>
      <c r="B455" s="97">
        <v>44693.0</v>
      </c>
      <c r="C455" s="96">
        <v>10189.0</v>
      </c>
      <c r="D455" s="98" t="s">
        <v>84</v>
      </c>
      <c r="E455" s="98" t="s">
        <v>159</v>
      </c>
      <c r="F455" s="99">
        <v>0.5611111111111111</v>
      </c>
      <c r="G455" s="99">
        <v>0.7208333333333333</v>
      </c>
      <c r="H455" s="101"/>
      <c r="I455" s="92" t="str">
        <f>IFERROR(VLOOKUP(D455,'Công T5'!$C$7:$F$89,4,0),"")</f>
        <v>NV</v>
      </c>
      <c r="J455" s="92">
        <f t="shared" si="8"/>
        <v>0.5611111111</v>
      </c>
      <c r="K455" s="92">
        <f t="shared" si="1"/>
        <v>0.7208333333</v>
      </c>
      <c r="L455" s="92" t="str">
        <f>IFERROR(VLOOKUP(D455,'Công T5'!$C$7:$F$89,2,0),"")</f>
        <v/>
      </c>
      <c r="M455" s="92" t="str">
        <f>IFERROR(VLOOKUP(D455,'Công T5'!$C$7:$F$89,3,0),"")</f>
        <v/>
      </c>
      <c r="N455" s="92">
        <f t="shared" si="9"/>
        <v>0.5611111111</v>
      </c>
      <c r="O455" s="92">
        <f t="shared" si="2"/>
        <v>0.7083333333</v>
      </c>
      <c r="P455" s="94">
        <f t="shared" si="3"/>
        <v>0</v>
      </c>
      <c r="Q455" s="94">
        <f t="shared" si="4"/>
        <v>0.5</v>
      </c>
      <c r="R455" s="95">
        <f t="shared" si="5"/>
        <v>0.5</v>
      </c>
      <c r="S455" s="95">
        <f t="shared" si="6"/>
        <v>1</v>
      </c>
      <c r="T455" s="95">
        <f t="shared" si="7"/>
        <v>0</v>
      </c>
    </row>
    <row r="456">
      <c r="A456" s="96">
        <v>187.0</v>
      </c>
      <c r="B456" s="97">
        <v>44694.0</v>
      </c>
      <c r="C456" s="96">
        <v>10189.0</v>
      </c>
      <c r="D456" s="98" t="s">
        <v>84</v>
      </c>
      <c r="E456" s="98" t="s">
        <v>159</v>
      </c>
      <c r="F456" s="99">
        <v>0.33055555555555555</v>
      </c>
      <c r="G456" s="99">
        <v>0.48194444444444445</v>
      </c>
      <c r="H456" s="101"/>
      <c r="I456" s="92" t="str">
        <f>IFERROR(VLOOKUP(D456,'Công T5'!$C$7:$F$89,4,0),"")</f>
        <v>NV</v>
      </c>
      <c r="J456" s="92">
        <f t="shared" si="8"/>
        <v>0.3305555556</v>
      </c>
      <c r="K456" s="92">
        <f t="shared" si="1"/>
        <v>0.7243055556</v>
      </c>
      <c r="L456" s="92" t="str">
        <f>IFERROR(VLOOKUP(D456,'Công T5'!$C$7:$F$89,2,0),"")</f>
        <v/>
      </c>
      <c r="M456" s="92" t="str">
        <f>IFERROR(VLOOKUP(D456,'Công T5'!$C$7:$F$89,3,0),"")</f>
        <v/>
      </c>
      <c r="N456" s="92">
        <f t="shared" si="9"/>
        <v>0.3333333333</v>
      </c>
      <c r="O456" s="92">
        <f t="shared" si="2"/>
        <v>0.7083333333</v>
      </c>
      <c r="P456" s="94">
        <f t="shared" si="3"/>
        <v>0.5</v>
      </c>
      <c r="Q456" s="94">
        <f t="shared" si="4"/>
        <v>0.5</v>
      </c>
      <c r="R456" s="95">
        <f t="shared" si="5"/>
        <v>1</v>
      </c>
      <c r="S456" s="95">
        <f t="shared" si="6"/>
        <v>0</v>
      </c>
      <c r="T456" s="95">
        <f t="shared" si="7"/>
        <v>0</v>
      </c>
    </row>
    <row r="457">
      <c r="A457" s="96">
        <v>188.0</v>
      </c>
      <c r="B457" s="97">
        <v>44694.0</v>
      </c>
      <c r="C457" s="96">
        <v>10189.0</v>
      </c>
      <c r="D457" s="98" t="s">
        <v>84</v>
      </c>
      <c r="E457" s="98" t="s">
        <v>159</v>
      </c>
      <c r="F457" s="99">
        <v>0.5611111111111111</v>
      </c>
      <c r="G457" s="99">
        <v>0.7243055555555555</v>
      </c>
      <c r="H457" s="101"/>
      <c r="I457" s="92" t="str">
        <f>IFERROR(VLOOKUP(D457,'Công T5'!$C$7:$F$89,4,0),"")</f>
        <v>NV</v>
      </c>
      <c r="J457" s="92">
        <f t="shared" si="8"/>
        <v>0.5611111111</v>
      </c>
      <c r="K457" s="92">
        <f t="shared" si="1"/>
        <v>0.7243055556</v>
      </c>
      <c r="L457" s="92" t="str">
        <f>IFERROR(VLOOKUP(D457,'Công T5'!$C$7:$F$89,2,0),"")</f>
        <v/>
      </c>
      <c r="M457" s="92" t="str">
        <f>IFERROR(VLOOKUP(D457,'Công T5'!$C$7:$F$89,3,0),"")</f>
        <v/>
      </c>
      <c r="N457" s="92">
        <f t="shared" si="9"/>
        <v>0.5611111111</v>
      </c>
      <c r="O457" s="92">
        <f t="shared" si="2"/>
        <v>0.7083333333</v>
      </c>
      <c r="P457" s="94">
        <f t="shared" si="3"/>
        <v>0</v>
      </c>
      <c r="Q457" s="94">
        <f t="shared" si="4"/>
        <v>0.5</v>
      </c>
      <c r="R457" s="95">
        <f t="shared" si="5"/>
        <v>0.5</v>
      </c>
      <c r="S457" s="95">
        <f t="shared" si="6"/>
        <v>1</v>
      </c>
      <c r="T457" s="95">
        <f t="shared" si="7"/>
        <v>0</v>
      </c>
    </row>
    <row r="458">
      <c r="A458" s="96">
        <v>189.0</v>
      </c>
      <c r="B458" s="97">
        <v>44697.0</v>
      </c>
      <c r="C458" s="96">
        <v>10189.0</v>
      </c>
      <c r="D458" s="98" t="s">
        <v>84</v>
      </c>
      <c r="E458" s="98" t="s">
        <v>159</v>
      </c>
      <c r="F458" s="99">
        <v>0.3333333333333333</v>
      </c>
      <c r="G458" s="99">
        <v>0.48055555555555557</v>
      </c>
      <c r="H458" s="101"/>
      <c r="I458" s="92" t="str">
        <f>IFERROR(VLOOKUP(D458,'Công T5'!$C$7:$F$89,4,0),"")</f>
        <v>NV</v>
      </c>
      <c r="J458" s="92">
        <f t="shared" si="8"/>
        <v>0.3333333333</v>
      </c>
      <c r="K458" s="92">
        <f t="shared" si="1"/>
        <v>0.7319444444</v>
      </c>
      <c r="L458" s="92" t="str">
        <f>IFERROR(VLOOKUP(D458,'Công T5'!$C$7:$F$89,2,0),"")</f>
        <v/>
      </c>
      <c r="M458" s="92" t="str">
        <f>IFERROR(VLOOKUP(D458,'Công T5'!$C$7:$F$89,3,0),"")</f>
        <v/>
      </c>
      <c r="N458" s="92">
        <f t="shared" si="9"/>
        <v>0.3333333333</v>
      </c>
      <c r="O458" s="92">
        <f t="shared" si="2"/>
        <v>0.7083333333</v>
      </c>
      <c r="P458" s="94">
        <f t="shared" si="3"/>
        <v>0.5</v>
      </c>
      <c r="Q458" s="94">
        <f t="shared" si="4"/>
        <v>0.5</v>
      </c>
      <c r="R458" s="95">
        <f t="shared" si="5"/>
        <v>1</v>
      </c>
      <c r="S458" s="95">
        <f t="shared" si="6"/>
        <v>0</v>
      </c>
      <c r="T458" s="95">
        <f t="shared" si="7"/>
        <v>0</v>
      </c>
    </row>
    <row r="459">
      <c r="A459" s="96">
        <v>190.0</v>
      </c>
      <c r="B459" s="97">
        <v>44697.0</v>
      </c>
      <c r="C459" s="96">
        <v>10189.0</v>
      </c>
      <c r="D459" s="98" t="s">
        <v>84</v>
      </c>
      <c r="E459" s="98" t="s">
        <v>159</v>
      </c>
      <c r="F459" s="99">
        <v>0.5590277777777778</v>
      </c>
      <c r="G459" s="99">
        <v>0.7319444444444444</v>
      </c>
      <c r="H459" s="101"/>
      <c r="I459" s="92" t="str">
        <f>IFERROR(VLOOKUP(D459,'Công T5'!$C$7:$F$89,4,0),"")</f>
        <v>NV</v>
      </c>
      <c r="J459" s="92">
        <f t="shared" si="8"/>
        <v>0.5590277778</v>
      </c>
      <c r="K459" s="92">
        <f t="shared" si="1"/>
        <v>0.7319444444</v>
      </c>
      <c r="L459" s="92" t="str">
        <f>IFERROR(VLOOKUP(D459,'Công T5'!$C$7:$F$89,2,0),"")</f>
        <v/>
      </c>
      <c r="M459" s="92" t="str">
        <f>IFERROR(VLOOKUP(D459,'Công T5'!$C$7:$F$89,3,0),"")</f>
        <v/>
      </c>
      <c r="N459" s="92">
        <f t="shared" si="9"/>
        <v>0.5590277778</v>
      </c>
      <c r="O459" s="92">
        <f t="shared" si="2"/>
        <v>0.7083333333</v>
      </c>
      <c r="P459" s="94">
        <f t="shared" si="3"/>
        <v>0</v>
      </c>
      <c r="Q459" s="94">
        <f t="shared" si="4"/>
        <v>0.5</v>
      </c>
      <c r="R459" s="95">
        <f t="shared" si="5"/>
        <v>0.5</v>
      </c>
      <c r="S459" s="95">
        <f t="shared" si="6"/>
        <v>1</v>
      </c>
      <c r="T459" s="95">
        <f t="shared" si="7"/>
        <v>0</v>
      </c>
    </row>
    <row r="460">
      <c r="A460" s="96">
        <v>191.0</v>
      </c>
      <c r="B460" s="97">
        <v>44698.0</v>
      </c>
      <c r="C460" s="96">
        <v>10189.0</v>
      </c>
      <c r="D460" s="98" t="s">
        <v>84</v>
      </c>
      <c r="E460" s="98" t="s">
        <v>159</v>
      </c>
      <c r="F460" s="99">
        <v>0.3333333333333333</v>
      </c>
      <c r="G460" s="99">
        <v>0.48194444444444445</v>
      </c>
      <c r="H460" s="101"/>
      <c r="I460" s="92" t="str">
        <f>IFERROR(VLOOKUP(D460,'Công T5'!$C$7:$F$89,4,0),"")</f>
        <v>NV</v>
      </c>
      <c r="J460" s="92">
        <f t="shared" si="8"/>
        <v>0.3333333333</v>
      </c>
      <c r="K460" s="92">
        <f t="shared" si="1"/>
        <v>0.7263888889</v>
      </c>
      <c r="L460" s="92" t="str">
        <f>IFERROR(VLOOKUP(D460,'Công T5'!$C$7:$F$89,2,0),"")</f>
        <v/>
      </c>
      <c r="M460" s="92" t="str">
        <f>IFERROR(VLOOKUP(D460,'Công T5'!$C$7:$F$89,3,0),"")</f>
        <v/>
      </c>
      <c r="N460" s="92">
        <f t="shared" si="9"/>
        <v>0.3333333333</v>
      </c>
      <c r="O460" s="92">
        <f t="shared" si="2"/>
        <v>0.7083333333</v>
      </c>
      <c r="P460" s="94">
        <f t="shared" si="3"/>
        <v>0.5</v>
      </c>
      <c r="Q460" s="94">
        <f t="shared" si="4"/>
        <v>0.5</v>
      </c>
      <c r="R460" s="95">
        <f t="shared" si="5"/>
        <v>1</v>
      </c>
      <c r="S460" s="95">
        <f t="shared" si="6"/>
        <v>0</v>
      </c>
      <c r="T460" s="95">
        <f t="shared" si="7"/>
        <v>0</v>
      </c>
    </row>
    <row r="461">
      <c r="A461" s="96">
        <v>192.0</v>
      </c>
      <c r="B461" s="97">
        <v>44698.0</v>
      </c>
      <c r="C461" s="96">
        <v>10189.0</v>
      </c>
      <c r="D461" s="98" t="s">
        <v>84</v>
      </c>
      <c r="E461" s="98" t="s">
        <v>159</v>
      </c>
      <c r="F461" s="99">
        <v>0.5604166666666667</v>
      </c>
      <c r="G461" s="99">
        <v>0.7263888888888889</v>
      </c>
      <c r="H461" s="101"/>
      <c r="I461" s="92" t="str">
        <f>IFERROR(VLOOKUP(D461,'Công T5'!$C$7:$F$89,4,0),"")</f>
        <v>NV</v>
      </c>
      <c r="J461" s="92">
        <f t="shared" si="8"/>
        <v>0.5604166667</v>
      </c>
      <c r="K461" s="92">
        <f t="shared" si="1"/>
        <v>0.7263888889</v>
      </c>
      <c r="L461" s="92" t="str">
        <f>IFERROR(VLOOKUP(D461,'Công T5'!$C$7:$F$89,2,0),"")</f>
        <v/>
      </c>
      <c r="M461" s="92" t="str">
        <f>IFERROR(VLOOKUP(D461,'Công T5'!$C$7:$F$89,3,0),"")</f>
        <v/>
      </c>
      <c r="N461" s="92">
        <f t="shared" si="9"/>
        <v>0.5604166667</v>
      </c>
      <c r="O461" s="92">
        <f t="shared" si="2"/>
        <v>0.7083333333</v>
      </c>
      <c r="P461" s="94">
        <f t="shared" si="3"/>
        <v>0</v>
      </c>
      <c r="Q461" s="94">
        <f t="shared" si="4"/>
        <v>0.5</v>
      </c>
      <c r="R461" s="95">
        <f t="shared" si="5"/>
        <v>0.5</v>
      </c>
      <c r="S461" s="95">
        <f t="shared" si="6"/>
        <v>1</v>
      </c>
      <c r="T461" s="95">
        <f t="shared" si="7"/>
        <v>0</v>
      </c>
    </row>
    <row r="462">
      <c r="A462" s="96">
        <v>193.0</v>
      </c>
      <c r="B462" s="97">
        <v>44699.0</v>
      </c>
      <c r="C462" s="96">
        <v>10189.0</v>
      </c>
      <c r="D462" s="98" t="s">
        <v>84</v>
      </c>
      <c r="E462" s="98" t="s">
        <v>159</v>
      </c>
      <c r="F462" s="99">
        <v>0.3333333333333333</v>
      </c>
      <c r="G462" s="99">
        <v>0.48194444444444445</v>
      </c>
      <c r="H462" s="101"/>
      <c r="I462" s="92" t="str">
        <f>IFERROR(VLOOKUP(D462,'Công T5'!$C$7:$F$89,4,0),"")</f>
        <v>NV</v>
      </c>
      <c r="J462" s="92">
        <f t="shared" si="8"/>
        <v>0.3333333333</v>
      </c>
      <c r="K462" s="92">
        <f t="shared" si="1"/>
        <v>0.725</v>
      </c>
      <c r="L462" s="92" t="str">
        <f>IFERROR(VLOOKUP(D462,'Công T5'!$C$7:$F$89,2,0),"")</f>
        <v/>
      </c>
      <c r="M462" s="92" t="str">
        <f>IFERROR(VLOOKUP(D462,'Công T5'!$C$7:$F$89,3,0),"")</f>
        <v/>
      </c>
      <c r="N462" s="92">
        <f t="shared" si="9"/>
        <v>0.3333333333</v>
      </c>
      <c r="O462" s="92">
        <f t="shared" si="2"/>
        <v>0.7083333333</v>
      </c>
      <c r="P462" s="94">
        <f t="shared" si="3"/>
        <v>0.5</v>
      </c>
      <c r="Q462" s="94">
        <f t="shared" si="4"/>
        <v>0.5</v>
      </c>
      <c r="R462" s="95">
        <f t="shared" si="5"/>
        <v>1</v>
      </c>
      <c r="S462" s="95">
        <f t="shared" si="6"/>
        <v>0</v>
      </c>
      <c r="T462" s="95">
        <f t="shared" si="7"/>
        <v>0</v>
      </c>
    </row>
    <row r="463">
      <c r="A463" s="96">
        <v>194.0</v>
      </c>
      <c r="B463" s="97">
        <v>44699.0</v>
      </c>
      <c r="C463" s="96">
        <v>10189.0</v>
      </c>
      <c r="D463" s="98" t="s">
        <v>84</v>
      </c>
      <c r="E463" s="98" t="s">
        <v>159</v>
      </c>
      <c r="F463" s="99">
        <v>0.5611111111111111</v>
      </c>
      <c r="G463" s="99">
        <v>0.725</v>
      </c>
      <c r="H463" s="101"/>
      <c r="I463" s="92" t="str">
        <f>IFERROR(VLOOKUP(D463,'Công T5'!$C$7:$F$89,4,0),"")</f>
        <v>NV</v>
      </c>
      <c r="J463" s="92">
        <f t="shared" si="8"/>
        <v>0.5611111111</v>
      </c>
      <c r="K463" s="92">
        <f t="shared" si="1"/>
        <v>0.725</v>
      </c>
      <c r="L463" s="92" t="str">
        <f>IFERROR(VLOOKUP(D463,'Công T5'!$C$7:$F$89,2,0),"")</f>
        <v/>
      </c>
      <c r="M463" s="92" t="str">
        <f>IFERROR(VLOOKUP(D463,'Công T5'!$C$7:$F$89,3,0),"")</f>
        <v/>
      </c>
      <c r="N463" s="92">
        <f t="shared" si="9"/>
        <v>0.5611111111</v>
      </c>
      <c r="O463" s="92">
        <f t="shared" si="2"/>
        <v>0.7083333333</v>
      </c>
      <c r="P463" s="94">
        <f t="shared" si="3"/>
        <v>0</v>
      </c>
      <c r="Q463" s="94">
        <f t="shared" si="4"/>
        <v>0.5</v>
      </c>
      <c r="R463" s="95">
        <f t="shared" si="5"/>
        <v>0.5</v>
      </c>
      <c r="S463" s="95">
        <f t="shared" si="6"/>
        <v>1</v>
      </c>
      <c r="T463" s="95">
        <f t="shared" si="7"/>
        <v>0</v>
      </c>
    </row>
    <row r="464">
      <c r="A464" s="96">
        <v>195.0</v>
      </c>
      <c r="B464" s="97">
        <v>44700.0</v>
      </c>
      <c r="C464" s="96">
        <v>10189.0</v>
      </c>
      <c r="D464" s="98" t="s">
        <v>84</v>
      </c>
      <c r="E464" s="98" t="s">
        <v>159</v>
      </c>
      <c r="F464" s="99">
        <v>0.33055555555555555</v>
      </c>
      <c r="G464" s="99">
        <v>0.48125</v>
      </c>
      <c r="H464" s="101"/>
      <c r="I464" s="92" t="str">
        <f>IFERROR(VLOOKUP(D464,'Công T5'!$C$7:$F$89,4,0),"")</f>
        <v>NV</v>
      </c>
      <c r="J464" s="92">
        <f t="shared" si="8"/>
        <v>0.3305555556</v>
      </c>
      <c r="K464" s="92">
        <f t="shared" si="1"/>
        <v>0.7270833333</v>
      </c>
      <c r="L464" s="92" t="str">
        <f>IFERROR(VLOOKUP(D464,'Công T5'!$C$7:$F$89,2,0),"")</f>
        <v/>
      </c>
      <c r="M464" s="92" t="str">
        <f>IFERROR(VLOOKUP(D464,'Công T5'!$C$7:$F$89,3,0),"")</f>
        <v/>
      </c>
      <c r="N464" s="92">
        <f t="shared" si="9"/>
        <v>0.3333333333</v>
      </c>
      <c r="O464" s="92">
        <f t="shared" si="2"/>
        <v>0.7083333333</v>
      </c>
      <c r="P464" s="94">
        <f t="shared" si="3"/>
        <v>0.5</v>
      </c>
      <c r="Q464" s="94">
        <f t="shared" si="4"/>
        <v>0.5</v>
      </c>
      <c r="R464" s="95">
        <f t="shared" si="5"/>
        <v>1</v>
      </c>
      <c r="S464" s="95">
        <f t="shared" si="6"/>
        <v>0</v>
      </c>
      <c r="T464" s="95">
        <f t="shared" si="7"/>
        <v>0</v>
      </c>
    </row>
    <row r="465">
      <c r="A465" s="96">
        <v>196.0</v>
      </c>
      <c r="B465" s="97">
        <v>44700.0</v>
      </c>
      <c r="C465" s="96">
        <v>10189.0</v>
      </c>
      <c r="D465" s="98" t="s">
        <v>84</v>
      </c>
      <c r="E465" s="98" t="s">
        <v>159</v>
      </c>
      <c r="F465" s="99">
        <v>0.5597222222222222</v>
      </c>
      <c r="G465" s="99">
        <v>0.7270833333333333</v>
      </c>
      <c r="H465" s="101"/>
      <c r="I465" s="92" t="str">
        <f>IFERROR(VLOOKUP(D465,'Công T5'!$C$7:$F$89,4,0),"")</f>
        <v>NV</v>
      </c>
      <c r="J465" s="92">
        <f t="shared" si="8"/>
        <v>0.5597222222</v>
      </c>
      <c r="K465" s="92">
        <f t="shared" si="1"/>
        <v>0.7270833333</v>
      </c>
      <c r="L465" s="92" t="str">
        <f>IFERROR(VLOOKUP(D465,'Công T5'!$C$7:$F$89,2,0),"")</f>
        <v/>
      </c>
      <c r="M465" s="92" t="str">
        <f>IFERROR(VLOOKUP(D465,'Công T5'!$C$7:$F$89,3,0),"")</f>
        <v/>
      </c>
      <c r="N465" s="92">
        <f t="shared" si="9"/>
        <v>0.5597222222</v>
      </c>
      <c r="O465" s="92">
        <f t="shared" si="2"/>
        <v>0.7083333333</v>
      </c>
      <c r="P465" s="94">
        <f t="shared" si="3"/>
        <v>0</v>
      </c>
      <c r="Q465" s="94">
        <f t="shared" si="4"/>
        <v>0.5</v>
      </c>
      <c r="R465" s="95">
        <f t="shared" si="5"/>
        <v>0.5</v>
      </c>
      <c r="S465" s="95">
        <f t="shared" si="6"/>
        <v>1</v>
      </c>
      <c r="T465" s="95">
        <f t="shared" si="7"/>
        <v>0</v>
      </c>
    </row>
    <row r="466">
      <c r="A466" s="96">
        <v>197.0</v>
      </c>
      <c r="B466" s="103">
        <v>44701.0</v>
      </c>
      <c r="C466" s="96">
        <v>10189.0</v>
      </c>
      <c r="D466" s="98" t="s">
        <v>84</v>
      </c>
      <c r="E466" s="98" t="s">
        <v>159</v>
      </c>
      <c r="F466" s="99">
        <v>0.3333333333333333</v>
      </c>
      <c r="G466" s="99">
        <v>0.48125</v>
      </c>
      <c r="H466" s="101"/>
      <c r="I466" s="92" t="str">
        <f>IFERROR(VLOOKUP(D466,'Công T5'!$C$7:$F$89,4,0),"")</f>
        <v>NV</v>
      </c>
      <c r="J466" s="92">
        <f t="shared" si="8"/>
        <v>0.3333333333</v>
      </c>
      <c r="K466" s="92">
        <f t="shared" si="1"/>
        <v>0.7236111111</v>
      </c>
      <c r="L466" s="92" t="str">
        <f>IFERROR(VLOOKUP(D466,'Công T5'!$C$7:$F$89,2,0),"")</f>
        <v/>
      </c>
      <c r="M466" s="92" t="str">
        <f>IFERROR(VLOOKUP(D466,'Công T5'!$C$7:$F$89,3,0),"")</f>
        <v/>
      </c>
      <c r="N466" s="92">
        <f t="shared" si="9"/>
        <v>0.3333333333</v>
      </c>
      <c r="O466" s="92">
        <f t="shared" si="2"/>
        <v>0.7083333333</v>
      </c>
      <c r="P466" s="94">
        <f t="shared" si="3"/>
        <v>0.5</v>
      </c>
      <c r="Q466" s="94">
        <f t="shared" si="4"/>
        <v>0.5</v>
      </c>
      <c r="R466" s="95">
        <f t="shared" si="5"/>
        <v>1</v>
      </c>
      <c r="S466" s="95">
        <f t="shared" si="6"/>
        <v>0</v>
      </c>
      <c r="T466" s="95">
        <f t="shared" si="7"/>
        <v>0</v>
      </c>
    </row>
    <row r="467">
      <c r="A467" s="96">
        <v>198.0</v>
      </c>
      <c r="B467" s="97">
        <v>44701.0</v>
      </c>
      <c r="C467" s="96">
        <v>10189.0</v>
      </c>
      <c r="D467" s="98" t="s">
        <v>84</v>
      </c>
      <c r="E467" s="98" t="s">
        <v>159</v>
      </c>
      <c r="F467" s="99">
        <v>0.5611111111111111</v>
      </c>
      <c r="G467" s="99">
        <v>0.7236111111111111</v>
      </c>
      <c r="H467" s="101"/>
      <c r="I467" s="92" t="str">
        <f>IFERROR(VLOOKUP(D467,'Công T5'!$C$7:$F$89,4,0),"")</f>
        <v>NV</v>
      </c>
      <c r="J467" s="92">
        <f t="shared" si="8"/>
        <v>0.5611111111</v>
      </c>
      <c r="K467" s="92">
        <f t="shared" si="1"/>
        <v>0.7236111111</v>
      </c>
      <c r="L467" s="92" t="str">
        <f>IFERROR(VLOOKUP(D467,'Công T5'!$C$7:$F$89,2,0),"")</f>
        <v/>
      </c>
      <c r="M467" s="92" t="str">
        <f>IFERROR(VLOOKUP(D467,'Công T5'!$C$7:$F$89,3,0),"")</f>
        <v/>
      </c>
      <c r="N467" s="92">
        <f t="shared" si="9"/>
        <v>0.5611111111</v>
      </c>
      <c r="O467" s="92">
        <f t="shared" si="2"/>
        <v>0.7083333333</v>
      </c>
      <c r="P467" s="94">
        <f t="shared" si="3"/>
        <v>0</v>
      </c>
      <c r="Q467" s="94">
        <f t="shared" si="4"/>
        <v>0.5</v>
      </c>
      <c r="R467" s="95">
        <f t="shared" si="5"/>
        <v>0.5</v>
      </c>
      <c r="S467" s="95">
        <f t="shared" si="6"/>
        <v>1</v>
      </c>
      <c r="T467" s="95">
        <f t="shared" si="7"/>
        <v>0</v>
      </c>
    </row>
    <row r="468">
      <c r="A468" s="96">
        <v>199.0</v>
      </c>
      <c r="B468" s="97">
        <v>44702.0</v>
      </c>
      <c r="C468" s="96">
        <v>10189.0</v>
      </c>
      <c r="D468" s="98" t="s">
        <v>84</v>
      </c>
      <c r="E468" s="98" t="s">
        <v>159</v>
      </c>
      <c r="F468" s="99">
        <v>0.33194444444444443</v>
      </c>
      <c r="G468" s="99">
        <v>0.48055555555555557</v>
      </c>
      <c r="H468" s="101"/>
      <c r="I468" s="92" t="str">
        <f>IFERROR(VLOOKUP(D468,'Công T5'!$C$7:$F$89,4,0),"")</f>
        <v>NV</v>
      </c>
      <c r="J468" s="92">
        <f t="shared" si="8"/>
        <v>0.3319444444</v>
      </c>
      <c r="K468" s="92">
        <f t="shared" si="1"/>
        <v>0.7423611111</v>
      </c>
      <c r="L468" s="92" t="str">
        <f>IFERROR(VLOOKUP(D468,'Công T5'!$C$7:$F$89,2,0),"")</f>
        <v/>
      </c>
      <c r="M468" s="92" t="str">
        <f>IFERROR(VLOOKUP(D468,'Công T5'!$C$7:$F$89,3,0),"")</f>
        <v/>
      </c>
      <c r="N468" s="92">
        <f t="shared" si="9"/>
        <v>0.3333333333</v>
      </c>
      <c r="O468" s="92">
        <f t="shared" si="2"/>
        <v>0.7083333333</v>
      </c>
      <c r="P468" s="94">
        <f t="shared" si="3"/>
        <v>0.5</v>
      </c>
      <c r="Q468" s="94">
        <f t="shared" si="4"/>
        <v>0.5</v>
      </c>
      <c r="R468" s="95">
        <f t="shared" si="5"/>
        <v>1</v>
      </c>
      <c r="S468" s="95">
        <f t="shared" si="6"/>
        <v>0</v>
      </c>
      <c r="T468" s="95">
        <f t="shared" si="7"/>
        <v>0</v>
      </c>
    </row>
    <row r="469">
      <c r="A469" s="96">
        <v>200.0</v>
      </c>
      <c r="B469" s="97">
        <v>44702.0</v>
      </c>
      <c r="C469" s="96">
        <v>10189.0</v>
      </c>
      <c r="D469" s="98" t="s">
        <v>84</v>
      </c>
      <c r="E469" s="98" t="s">
        <v>159</v>
      </c>
      <c r="F469" s="99">
        <v>0.5611111111111111</v>
      </c>
      <c r="G469" s="99">
        <v>0.7423611111111111</v>
      </c>
      <c r="H469" s="101"/>
      <c r="I469" s="92" t="str">
        <f>IFERROR(VLOOKUP(D469,'Công T5'!$C$7:$F$89,4,0),"")</f>
        <v>NV</v>
      </c>
      <c r="J469" s="92">
        <f t="shared" si="8"/>
        <v>0.5611111111</v>
      </c>
      <c r="K469" s="92">
        <f t="shared" si="1"/>
        <v>0.7423611111</v>
      </c>
      <c r="L469" s="92" t="str">
        <f>IFERROR(VLOOKUP(D469,'Công T5'!$C$7:$F$89,2,0),"")</f>
        <v/>
      </c>
      <c r="M469" s="92" t="str">
        <f>IFERROR(VLOOKUP(D469,'Công T5'!$C$7:$F$89,3,0),"")</f>
        <v/>
      </c>
      <c r="N469" s="92">
        <f t="shared" si="9"/>
        <v>0.5611111111</v>
      </c>
      <c r="O469" s="92">
        <f t="shared" si="2"/>
        <v>0.7083333333</v>
      </c>
      <c r="P469" s="94">
        <f t="shared" si="3"/>
        <v>0</v>
      </c>
      <c r="Q469" s="94">
        <f t="shared" si="4"/>
        <v>0.5</v>
      </c>
      <c r="R469" s="95">
        <f t="shared" si="5"/>
        <v>0.5</v>
      </c>
      <c r="S469" s="95">
        <f t="shared" si="6"/>
        <v>1</v>
      </c>
      <c r="T469" s="95">
        <f t="shared" si="7"/>
        <v>0</v>
      </c>
    </row>
    <row r="470">
      <c r="A470" s="96">
        <v>201.0</v>
      </c>
      <c r="B470" s="97">
        <v>44704.0</v>
      </c>
      <c r="C470" s="96">
        <v>10189.0</v>
      </c>
      <c r="D470" s="98" t="s">
        <v>84</v>
      </c>
      <c r="E470" s="98" t="s">
        <v>159</v>
      </c>
      <c r="F470" s="99">
        <v>0.35347222222222224</v>
      </c>
      <c r="G470" s="99">
        <v>0.48125</v>
      </c>
      <c r="H470" s="101"/>
      <c r="I470" s="92" t="str">
        <f>IFERROR(VLOOKUP(D470,'Công T5'!$C$7:$F$89,4,0),"")</f>
        <v>NV</v>
      </c>
      <c r="J470" s="92">
        <f t="shared" si="8"/>
        <v>0.3534722222</v>
      </c>
      <c r="K470" s="92">
        <f t="shared" si="1"/>
        <v>0.7263888889</v>
      </c>
      <c r="L470" s="92" t="str">
        <f>IFERROR(VLOOKUP(D470,'Công T5'!$C$7:$F$89,2,0),"")</f>
        <v/>
      </c>
      <c r="M470" s="92" t="str">
        <f>IFERROR(VLOOKUP(D470,'Công T5'!$C$7:$F$89,3,0),"")</f>
        <v/>
      </c>
      <c r="N470" s="92">
        <f t="shared" si="9"/>
        <v>0.3333333333</v>
      </c>
      <c r="O470" s="92">
        <f t="shared" si="2"/>
        <v>0.7083333333</v>
      </c>
      <c r="P470" s="94">
        <f t="shared" si="3"/>
        <v>0.5</v>
      </c>
      <c r="Q470" s="94">
        <f t="shared" si="4"/>
        <v>0.5</v>
      </c>
      <c r="R470" s="95">
        <f t="shared" si="5"/>
        <v>1</v>
      </c>
      <c r="S470" s="95">
        <f t="shared" si="6"/>
        <v>1</v>
      </c>
      <c r="T470" s="95">
        <f t="shared" si="7"/>
        <v>0</v>
      </c>
    </row>
    <row r="471">
      <c r="A471" s="96">
        <v>202.0</v>
      </c>
      <c r="B471" s="97">
        <v>44704.0</v>
      </c>
      <c r="C471" s="96">
        <v>10189.0</v>
      </c>
      <c r="D471" s="98" t="s">
        <v>84</v>
      </c>
      <c r="E471" s="98" t="s">
        <v>159</v>
      </c>
      <c r="F471" s="99">
        <v>0.5590277777777778</v>
      </c>
      <c r="G471" s="99">
        <v>0.7263888888888889</v>
      </c>
      <c r="H471" s="101"/>
      <c r="I471" s="92" t="str">
        <f>IFERROR(VLOOKUP(D471,'Công T5'!$C$7:$F$89,4,0),"")</f>
        <v>NV</v>
      </c>
      <c r="J471" s="92">
        <f t="shared" si="8"/>
        <v>0.5590277778</v>
      </c>
      <c r="K471" s="92">
        <f t="shared" si="1"/>
        <v>0.7263888889</v>
      </c>
      <c r="L471" s="92" t="str">
        <f>IFERROR(VLOOKUP(D471,'Công T5'!$C$7:$F$89,2,0),"")</f>
        <v/>
      </c>
      <c r="M471" s="92" t="str">
        <f>IFERROR(VLOOKUP(D471,'Công T5'!$C$7:$F$89,3,0),"")</f>
        <v/>
      </c>
      <c r="N471" s="92">
        <f t="shared" si="9"/>
        <v>0.5590277778</v>
      </c>
      <c r="O471" s="92">
        <f t="shared" si="2"/>
        <v>0.7083333333</v>
      </c>
      <c r="P471" s="94">
        <f t="shared" si="3"/>
        <v>0</v>
      </c>
      <c r="Q471" s="94">
        <f t="shared" si="4"/>
        <v>0.5</v>
      </c>
      <c r="R471" s="95">
        <f t="shared" si="5"/>
        <v>0.5</v>
      </c>
      <c r="S471" s="95">
        <f t="shared" si="6"/>
        <v>1</v>
      </c>
      <c r="T471" s="95">
        <f t="shared" si="7"/>
        <v>0</v>
      </c>
    </row>
    <row r="472">
      <c r="A472" s="96">
        <v>203.0</v>
      </c>
      <c r="B472" s="97">
        <v>44705.0</v>
      </c>
      <c r="C472" s="96">
        <v>10189.0</v>
      </c>
      <c r="D472" s="98" t="s">
        <v>84</v>
      </c>
      <c r="E472" s="98" t="s">
        <v>159</v>
      </c>
      <c r="F472" s="99">
        <v>0.33611111111111114</v>
      </c>
      <c r="G472" s="99">
        <v>0.48125</v>
      </c>
      <c r="H472" s="101"/>
      <c r="I472" s="92" t="str">
        <f>IFERROR(VLOOKUP(D472,'Công T5'!$C$7:$F$89,4,0),"")</f>
        <v>NV</v>
      </c>
      <c r="J472" s="92">
        <f t="shared" si="8"/>
        <v>0.3361111111</v>
      </c>
      <c r="K472" s="92">
        <f t="shared" si="1"/>
        <v>0.7236111111</v>
      </c>
      <c r="L472" s="92" t="str">
        <f>IFERROR(VLOOKUP(D472,'Công T5'!$C$7:$F$89,2,0),"")</f>
        <v/>
      </c>
      <c r="M472" s="92" t="str">
        <f>IFERROR(VLOOKUP(D472,'Công T5'!$C$7:$F$89,3,0),"")</f>
        <v/>
      </c>
      <c r="N472" s="92">
        <f t="shared" si="9"/>
        <v>0.3333333333</v>
      </c>
      <c r="O472" s="92">
        <f t="shared" si="2"/>
        <v>0.7083333333</v>
      </c>
      <c r="P472" s="94">
        <f t="shared" si="3"/>
        <v>0.5</v>
      </c>
      <c r="Q472" s="94">
        <f t="shared" si="4"/>
        <v>0.5</v>
      </c>
      <c r="R472" s="95">
        <f t="shared" si="5"/>
        <v>1</v>
      </c>
      <c r="S472" s="95">
        <f t="shared" si="6"/>
        <v>1</v>
      </c>
      <c r="T472" s="95">
        <f t="shared" si="7"/>
        <v>0</v>
      </c>
    </row>
    <row r="473">
      <c r="A473" s="96">
        <v>204.0</v>
      </c>
      <c r="B473" s="103">
        <v>44705.0</v>
      </c>
      <c r="C473" s="96">
        <v>10189.0</v>
      </c>
      <c r="D473" s="98" t="s">
        <v>84</v>
      </c>
      <c r="E473" s="98" t="s">
        <v>159</v>
      </c>
      <c r="F473" s="99">
        <v>0.5583333333333333</v>
      </c>
      <c r="G473" s="99">
        <v>0.7236111111111111</v>
      </c>
      <c r="H473" s="101"/>
      <c r="I473" s="92" t="str">
        <f>IFERROR(VLOOKUP(D473,'Công T5'!$C$7:$F$89,4,0),"")</f>
        <v>NV</v>
      </c>
      <c r="J473" s="92">
        <f t="shared" si="8"/>
        <v>0.5583333333</v>
      </c>
      <c r="K473" s="92">
        <f t="shared" si="1"/>
        <v>0.7236111111</v>
      </c>
      <c r="L473" s="92" t="str">
        <f>IFERROR(VLOOKUP(D473,'Công T5'!$C$7:$F$89,2,0),"")</f>
        <v/>
      </c>
      <c r="M473" s="92" t="str">
        <f>IFERROR(VLOOKUP(D473,'Công T5'!$C$7:$F$89,3,0),"")</f>
        <v/>
      </c>
      <c r="N473" s="92">
        <f t="shared" si="9"/>
        <v>0.5583333333</v>
      </c>
      <c r="O473" s="92">
        <f t="shared" si="2"/>
        <v>0.7083333333</v>
      </c>
      <c r="P473" s="94">
        <f t="shared" si="3"/>
        <v>0</v>
      </c>
      <c r="Q473" s="94">
        <f t="shared" si="4"/>
        <v>0.5</v>
      </c>
      <c r="R473" s="95">
        <f t="shared" si="5"/>
        <v>0.5</v>
      </c>
      <c r="S473" s="95">
        <f t="shared" si="6"/>
        <v>1</v>
      </c>
      <c r="T473" s="95">
        <f t="shared" si="7"/>
        <v>0</v>
      </c>
    </row>
    <row r="474">
      <c r="A474" s="96">
        <v>205.0</v>
      </c>
      <c r="B474" s="97">
        <v>44706.0</v>
      </c>
      <c r="C474" s="96">
        <v>10189.0</v>
      </c>
      <c r="D474" s="98" t="s">
        <v>84</v>
      </c>
      <c r="E474" s="98" t="s">
        <v>159</v>
      </c>
      <c r="F474" s="99">
        <v>0.32916666666666666</v>
      </c>
      <c r="G474" s="99">
        <v>0.48055555555555557</v>
      </c>
      <c r="H474" s="101"/>
      <c r="I474" s="92" t="str">
        <f>IFERROR(VLOOKUP(D474,'Công T5'!$C$7:$F$89,4,0),"")</f>
        <v>NV</v>
      </c>
      <c r="J474" s="92">
        <f t="shared" si="8"/>
        <v>0.3291666667</v>
      </c>
      <c r="K474" s="92">
        <f t="shared" si="1"/>
        <v>0.7256944444</v>
      </c>
      <c r="L474" s="92" t="str">
        <f>IFERROR(VLOOKUP(D474,'Công T5'!$C$7:$F$89,2,0),"")</f>
        <v/>
      </c>
      <c r="M474" s="92" t="str">
        <f>IFERROR(VLOOKUP(D474,'Công T5'!$C$7:$F$89,3,0),"")</f>
        <v/>
      </c>
      <c r="N474" s="92">
        <f t="shared" si="9"/>
        <v>0.3333333333</v>
      </c>
      <c r="O474" s="92">
        <f t="shared" si="2"/>
        <v>0.7083333333</v>
      </c>
      <c r="P474" s="94">
        <f t="shared" si="3"/>
        <v>0.5</v>
      </c>
      <c r="Q474" s="94">
        <f t="shared" si="4"/>
        <v>0.5</v>
      </c>
      <c r="R474" s="95">
        <f t="shared" si="5"/>
        <v>1</v>
      </c>
      <c r="S474" s="95">
        <f t="shared" si="6"/>
        <v>0</v>
      </c>
      <c r="T474" s="95">
        <f t="shared" si="7"/>
        <v>0</v>
      </c>
    </row>
    <row r="475">
      <c r="A475" s="96">
        <v>206.0</v>
      </c>
      <c r="B475" s="97">
        <v>44706.0</v>
      </c>
      <c r="C475" s="96">
        <v>10189.0</v>
      </c>
      <c r="D475" s="98" t="s">
        <v>84</v>
      </c>
      <c r="E475" s="98" t="s">
        <v>159</v>
      </c>
      <c r="F475" s="99">
        <v>0.5618055555555556</v>
      </c>
      <c r="G475" s="99">
        <v>0.7256944444444444</v>
      </c>
      <c r="H475" s="101"/>
      <c r="I475" s="92" t="str">
        <f>IFERROR(VLOOKUP(D475,'Công T5'!$C$7:$F$89,4,0),"")</f>
        <v>NV</v>
      </c>
      <c r="J475" s="92">
        <f t="shared" si="8"/>
        <v>0.5618055556</v>
      </c>
      <c r="K475" s="92">
        <f t="shared" si="1"/>
        <v>0.7256944444</v>
      </c>
      <c r="L475" s="92" t="str">
        <f>IFERROR(VLOOKUP(D475,'Công T5'!$C$7:$F$89,2,0),"")</f>
        <v/>
      </c>
      <c r="M475" s="92" t="str">
        <f>IFERROR(VLOOKUP(D475,'Công T5'!$C$7:$F$89,3,0),"")</f>
        <v/>
      </c>
      <c r="N475" s="92">
        <f t="shared" si="9"/>
        <v>0.5618055556</v>
      </c>
      <c r="O475" s="92">
        <f t="shared" si="2"/>
        <v>0.7083333333</v>
      </c>
      <c r="P475" s="94">
        <f t="shared" si="3"/>
        <v>0</v>
      </c>
      <c r="Q475" s="94">
        <f t="shared" si="4"/>
        <v>0.5</v>
      </c>
      <c r="R475" s="95">
        <f t="shared" si="5"/>
        <v>0.5</v>
      </c>
      <c r="S475" s="95">
        <f t="shared" si="6"/>
        <v>1</v>
      </c>
      <c r="T475" s="95">
        <f t="shared" si="7"/>
        <v>0</v>
      </c>
    </row>
    <row r="476">
      <c r="A476" s="96">
        <v>207.0</v>
      </c>
      <c r="B476" s="97">
        <v>44677.0</v>
      </c>
      <c r="C476" s="96">
        <v>10360.0</v>
      </c>
      <c r="D476" s="98" t="s">
        <v>82</v>
      </c>
      <c r="E476" s="104"/>
      <c r="F476" s="99">
        <v>0.33194444444444443</v>
      </c>
      <c r="G476" s="99">
        <v>0.71875</v>
      </c>
      <c r="H476" s="101"/>
      <c r="I476" s="92" t="str">
        <f>IFERROR(VLOOKUP(D476,'Công T5'!$C$7:$F$89,4,0),"")</f>
        <v>NV</v>
      </c>
      <c r="J476" s="92">
        <f t="shared" si="8"/>
        <v>0.3319444444</v>
      </c>
      <c r="K476" s="92">
        <f t="shared" si="1"/>
        <v>0.71875</v>
      </c>
      <c r="L476" s="92" t="str">
        <f>IFERROR(VLOOKUP(D476,'Công T5'!$C$7:$F$89,2,0),"")</f>
        <v/>
      </c>
      <c r="M476" s="92" t="str">
        <f>IFERROR(VLOOKUP(D476,'Công T5'!$C$7:$F$89,3,0),"")</f>
        <v/>
      </c>
      <c r="N476" s="92">
        <f t="shared" si="9"/>
        <v>0.3333333333</v>
      </c>
      <c r="O476" s="92">
        <f t="shared" si="2"/>
        <v>0.7083333333</v>
      </c>
      <c r="P476" s="94">
        <f t="shared" si="3"/>
        <v>0.5</v>
      </c>
      <c r="Q476" s="94">
        <f t="shared" si="4"/>
        <v>0.5</v>
      </c>
      <c r="R476" s="95">
        <f t="shared" si="5"/>
        <v>1</v>
      </c>
      <c r="S476" s="95">
        <f t="shared" si="6"/>
        <v>0</v>
      </c>
      <c r="T476" s="95">
        <f t="shared" si="7"/>
        <v>0</v>
      </c>
    </row>
    <row r="477">
      <c r="A477" s="96">
        <v>208.0</v>
      </c>
      <c r="B477" s="97">
        <v>44678.0</v>
      </c>
      <c r="C477" s="96">
        <v>10360.0</v>
      </c>
      <c r="D477" s="98" t="s">
        <v>82</v>
      </c>
      <c r="E477" s="104"/>
      <c r="F477" s="99">
        <v>0.33194444444444443</v>
      </c>
      <c r="G477" s="99">
        <v>0.71875</v>
      </c>
      <c r="H477" s="101"/>
      <c r="I477" s="92" t="str">
        <f>IFERROR(VLOOKUP(D477,'Công T5'!$C$7:$F$89,4,0),"")</f>
        <v>NV</v>
      </c>
      <c r="J477" s="92">
        <f t="shared" si="8"/>
        <v>0.3319444444</v>
      </c>
      <c r="K477" s="92">
        <f t="shared" si="1"/>
        <v>0.71875</v>
      </c>
      <c r="L477" s="92" t="str">
        <f>IFERROR(VLOOKUP(D477,'Công T5'!$C$7:$F$89,2,0),"")</f>
        <v/>
      </c>
      <c r="M477" s="92" t="str">
        <f>IFERROR(VLOOKUP(D477,'Công T5'!$C$7:$F$89,3,0),"")</f>
        <v/>
      </c>
      <c r="N477" s="92">
        <f t="shared" si="9"/>
        <v>0.3333333333</v>
      </c>
      <c r="O477" s="92">
        <f t="shared" si="2"/>
        <v>0.7083333333</v>
      </c>
      <c r="P477" s="94">
        <f t="shared" si="3"/>
        <v>0.5</v>
      </c>
      <c r="Q477" s="94">
        <f t="shared" si="4"/>
        <v>0.5</v>
      </c>
      <c r="R477" s="95">
        <f t="shared" si="5"/>
        <v>1</v>
      </c>
      <c r="S477" s="95">
        <f t="shared" si="6"/>
        <v>0</v>
      </c>
      <c r="T477" s="95">
        <f t="shared" si="7"/>
        <v>0</v>
      </c>
    </row>
    <row r="478">
      <c r="A478" s="96">
        <v>209.0</v>
      </c>
      <c r="B478" s="97">
        <v>44679.0</v>
      </c>
      <c r="C478" s="96">
        <v>10360.0</v>
      </c>
      <c r="D478" s="98" t="s">
        <v>82</v>
      </c>
      <c r="E478" s="104"/>
      <c r="F478" s="99">
        <v>0.3194444444444444</v>
      </c>
      <c r="G478" s="99">
        <v>0.725</v>
      </c>
      <c r="H478" s="101"/>
      <c r="I478" s="92" t="str">
        <f>IFERROR(VLOOKUP(D478,'Công T5'!$C$7:$F$89,4,0),"")</f>
        <v>NV</v>
      </c>
      <c r="J478" s="92">
        <f t="shared" si="8"/>
        <v>0.3194444444</v>
      </c>
      <c r="K478" s="92">
        <f t="shared" si="1"/>
        <v>0.725</v>
      </c>
      <c r="L478" s="92" t="str">
        <f>IFERROR(VLOOKUP(D478,'Công T5'!$C$7:$F$89,2,0),"")</f>
        <v/>
      </c>
      <c r="M478" s="92" t="str">
        <f>IFERROR(VLOOKUP(D478,'Công T5'!$C$7:$F$89,3,0),"")</f>
        <v/>
      </c>
      <c r="N478" s="92">
        <f t="shared" si="9"/>
        <v>0.3333333333</v>
      </c>
      <c r="O478" s="92">
        <f t="shared" si="2"/>
        <v>0.7083333333</v>
      </c>
      <c r="P478" s="94">
        <f t="shared" si="3"/>
        <v>0.5</v>
      </c>
      <c r="Q478" s="94">
        <f t="shared" si="4"/>
        <v>0.5</v>
      </c>
      <c r="R478" s="95">
        <f t="shared" si="5"/>
        <v>1</v>
      </c>
      <c r="S478" s="95">
        <f t="shared" si="6"/>
        <v>0</v>
      </c>
      <c r="T478" s="95">
        <f t="shared" si="7"/>
        <v>0</v>
      </c>
    </row>
    <row r="479">
      <c r="A479" s="96">
        <v>210.0</v>
      </c>
      <c r="B479" s="97">
        <v>44680.0</v>
      </c>
      <c r="C479" s="96">
        <v>10360.0</v>
      </c>
      <c r="D479" s="98" t="s">
        <v>82</v>
      </c>
      <c r="E479" s="104"/>
      <c r="F479" s="99">
        <v>0.3277777777777778</v>
      </c>
      <c r="G479" s="99">
        <v>0.7215277777777778</v>
      </c>
      <c r="H479" s="101"/>
      <c r="I479" s="92" t="str">
        <f>IFERROR(VLOOKUP(D479,'Công T5'!$C$7:$F$89,4,0),"")</f>
        <v>NV</v>
      </c>
      <c r="J479" s="92">
        <f t="shared" si="8"/>
        <v>0.3277777778</v>
      </c>
      <c r="K479" s="92">
        <f t="shared" si="1"/>
        <v>0.7215277778</v>
      </c>
      <c r="L479" s="92" t="str">
        <f>IFERROR(VLOOKUP(D479,'Công T5'!$C$7:$F$89,2,0),"")</f>
        <v/>
      </c>
      <c r="M479" s="92" t="str">
        <f>IFERROR(VLOOKUP(D479,'Công T5'!$C$7:$F$89,3,0),"")</f>
        <v/>
      </c>
      <c r="N479" s="92">
        <f t="shared" si="9"/>
        <v>0.3333333333</v>
      </c>
      <c r="O479" s="92">
        <f t="shared" si="2"/>
        <v>0.7083333333</v>
      </c>
      <c r="P479" s="94">
        <f t="shared" si="3"/>
        <v>0.5</v>
      </c>
      <c r="Q479" s="94">
        <f t="shared" si="4"/>
        <v>0.5</v>
      </c>
      <c r="R479" s="95">
        <f t="shared" si="5"/>
        <v>1</v>
      </c>
      <c r="S479" s="95">
        <f t="shared" si="6"/>
        <v>0</v>
      </c>
      <c r="T479" s="95">
        <f t="shared" si="7"/>
        <v>0</v>
      </c>
    </row>
    <row r="480">
      <c r="A480" s="96">
        <v>211.0</v>
      </c>
      <c r="B480" s="97">
        <v>44685.0</v>
      </c>
      <c r="C480" s="96">
        <v>10360.0</v>
      </c>
      <c r="D480" s="98" t="s">
        <v>82</v>
      </c>
      <c r="E480" s="104"/>
      <c r="F480" s="99">
        <v>0.33194444444444443</v>
      </c>
      <c r="G480" s="99">
        <v>0.7201388888888889</v>
      </c>
      <c r="H480" s="101"/>
      <c r="I480" s="92" t="str">
        <f>IFERROR(VLOOKUP(D480,'Công T5'!$C$7:$F$89,4,0),"")</f>
        <v>NV</v>
      </c>
      <c r="J480" s="92">
        <f t="shared" si="8"/>
        <v>0.3319444444</v>
      </c>
      <c r="K480" s="92">
        <f t="shared" si="1"/>
        <v>0.7201388889</v>
      </c>
      <c r="L480" s="92" t="str">
        <f>IFERROR(VLOOKUP(D480,'Công T5'!$C$7:$F$89,2,0),"")</f>
        <v/>
      </c>
      <c r="M480" s="92" t="str">
        <f>IFERROR(VLOOKUP(D480,'Công T5'!$C$7:$F$89,3,0),"")</f>
        <v/>
      </c>
      <c r="N480" s="92">
        <f t="shared" si="9"/>
        <v>0.3333333333</v>
      </c>
      <c r="O480" s="92">
        <f t="shared" si="2"/>
        <v>0.7083333333</v>
      </c>
      <c r="P480" s="94">
        <f t="shared" si="3"/>
        <v>0.5</v>
      </c>
      <c r="Q480" s="94">
        <f t="shared" si="4"/>
        <v>0.5</v>
      </c>
      <c r="R480" s="95">
        <f t="shared" si="5"/>
        <v>1</v>
      </c>
      <c r="S480" s="95">
        <f t="shared" si="6"/>
        <v>0</v>
      </c>
      <c r="T480" s="95">
        <f t="shared" si="7"/>
        <v>0</v>
      </c>
    </row>
    <row r="481">
      <c r="A481" s="96">
        <v>212.0</v>
      </c>
      <c r="B481" s="97">
        <v>44686.0</v>
      </c>
      <c r="C481" s="96">
        <v>10360.0</v>
      </c>
      <c r="D481" s="98" t="s">
        <v>82</v>
      </c>
      <c r="E481" s="104"/>
      <c r="F481" s="99">
        <v>0.3284722222222222</v>
      </c>
      <c r="G481" s="99">
        <v>0.7222222222222222</v>
      </c>
      <c r="H481" s="101"/>
      <c r="I481" s="92" t="str">
        <f>IFERROR(VLOOKUP(D481,'Công T5'!$C$7:$F$89,4,0),"")</f>
        <v>NV</v>
      </c>
      <c r="J481" s="92">
        <f t="shared" si="8"/>
        <v>0.3284722222</v>
      </c>
      <c r="K481" s="92">
        <f t="shared" si="1"/>
        <v>0.7222222222</v>
      </c>
      <c r="L481" s="92" t="str">
        <f>IFERROR(VLOOKUP(D481,'Công T5'!$C$7:$F$89,2,0),"")</f>
        <v/>
      </c>
      <c r="M481" s="92" t="str">
        <f>IFERROR(VLOOKUP(D481,'Công T5'!$C$7:$F$89,3,0),"")</f>
        <v/>
      </c>
      <c r="N481" s="92">
        <f t="shared" si="9"/>
        <v>0.3333333333</v>
      </c>
      <c r="O481" s="92">
        <f t="shared" si="2"/>
        <v>0.7083333333</v>
      </c>
      <c r="P481" s="94">
        <f t="shared" si="3"/>
        <v>0.5</v>
      </c>
      <c r="Q481" s="94">
        <f t="shared" si="4"/>
        <v>0.5</v>
      </c>
      <c r="R481" s="95">
        <f t="shared" si="5"/>
        <v>1</v>
      </c>
      <c r="S481" s="95">
        <f t="shared" si="6"/>
        <v>0</v>
      </c>
      <c r="T481" s="95">
        <f t="shared" si="7"/>
        <v>0</v>
      </c>
    </row>
    <row r="482">
      <c r="A482" s="96">
        <v>213.0</v>
      </c>
      <c r="B482" s="97">
        <v>44687.0</v>
      </c>
      <c r="C482" s="96">
        <v>10360.0</v>
      </c>
      <c r="D482" s="98" t="s">
        <v>82</v>
      </c>
      <c r="E482" s="104"/>
      <c r="F482" s="99">
        <v>0.33402777777777776</v>
      </c>
      <c r="G482" s="99">
        <v>0.7194444444444444</v>
      </c>
      <c r="H482" s="101"/>
      <c r="I482" s="92" t="str">
        <f>IFERROR(VLOOKUP(D482,'Công T5'!$C$7:$F$89,4,0),"")</f>
        <v>NV</v>
      </c>
      <c r="J482" s="92">
        <f t="shared" si="8"/>
        <v>0.3340277778</v>
      </c>
      <c r="K482" s="92">
        <f t="shared" si="1"/>
        <v>0.7194444444</v>
      </c>
      <c r="L482" s="92" t="str">
        <f>IFERROR(VLOOKUP(D482,'Công T5'!$C$7:$F$89,2,0),"")</f>
        <v/>
      </c>
      <c r="M482" s="92" t="str">
        <f>IFERROR(VLOOKUP(D482,'Công T5'!$C$7:$F$89,3,0),"")</f>
        <v/>
      </c>
      <c r="N482" s="92">
        <f t="shared" si="9"/>
        <v>0.3333333333</v>
      </c>
      <c r="O482" s="92">
        <f t="shared" si="2"/>
        <v>0.7083333333</v>
      </c>
      <c r="P482" s="94">
        <f t="shared" si="3"/>
        <v>0.5</v>
      </c>
      <c r="Q482" s="94">
        <f t="shared" si="4"/>
        <v>0.5</v>
      </c>
      <c r="R482" s="95">
        <f t="shared" si="5"/>
        <v>1</v>
      </c>
      <c r="S482" s="95">
        <f t="shared" si="6"/>
        <v>1</v>
      </c>
      <c r="T482" s="95">
        <f t="shared" si="7"/>
        <v>0</v>
      </c>
    </row>
    <row r="483">
      <c r="A483" s="96">
        <v>214.0</v>
      </c>
      <c r="B483" s="97">
        <v>44688.0</v>
      </c>
      <c r="C483" s="96">
        <v>10360.0</v>
      </c>
      <c r="D483" s="98" t="s">
        <v>82</v>
      </c>
      <c r="E483" s="104"/>
      <c r="F483" s="99">
        <v>0.33125</v>
      </c>
      <c r="G483" s="99">
        <v>0.7347222222222223</v>
      </c>
      <c r="H483" s="101"/>
      <c r="I483" s="92" t="str">
        <f>IFERROR(VLOOKUP(D483,'Công T5'!$C$7:$F$89,4,0),"")</f>
        <v>NV</v>
      </c>
      <c r="J483" s="92">
        <f t="shared" si="8"/>
        <v>0.33125</v>
      </c>
      <c r="K483" s="92">
        <f t="shared" si="1"/>
        <v>0.7347222222</v>
      </c>
      <c r="L483" s="92" t="str">
        <f>IFERROR(VLOOKUP(D483,'Công T5'!$C$7:$F$89,2,0),"")</f>
        <v/>
      </c>
      <c r="M483" s="92" t="str">
        <f>IFERROR(VLOOKUP(D483,'Công T5'!$C$7:$F$89,3,0),"")</f>
        <v/>
      </c>
      <c r="N483" s="92">
        <f t="shared" si="9"/>
        <v>0.3333333333</v>
      </c>
      <c r="O483" s="92">
        <f t="shared" si="2"/>
        <v>0.7083333333</v>
      </c>
      <c r="P483" s="94">
        <f t="shared" si="3"/>
        <v>0.5</v>
      </c>
      <c r="Q483" s="94">
        <f t="shared" si="4"/>
        <v>0.5</v>
      </c>
      <c r="R483" s="95">
        <f t="shared" si="5"/>
        <v>1</v>
      </c>
      <c r="S483" s="95">
        <f t="shared" si="6"/>
        <v>0</v>
      </c>
      <c r="T483" s="95">
        <f t="shared" si="7"/>
        <v>0</v>
      </c>
    </row>
    <row r="484">
      <c r="A484" s="96">
        <v>215.0</v>
      </c>
      <c r="B484" s="97">
        <v>44690.0</v>
      </c>
      <c r="C484" s="96">
        <v>10360.0</v>
      </c>
      <c r="D484" s="98" t="s">
        <v>82</v>
      </c>
      <c r="E484" s="104"/>
      <c r="F484" s="99">
        <v>0.33125</v>
      </c>
      <c r="G484" s="99">
        <v>0.7145833333333333</v>
      </c>
      <c r="H484" s="101"/>
      <c r="I484" s="92" t="str">
        <f>IFERROR(VLOOKUP(D484,'Công T5'!$C$7:$F$89,4,0),"")</f>
        <v>NV</v>
      </c>
      <c r="J484" s="92">
        <f t="shared" si="8"/>
        <v>0.33125</v>
      </c>
      <c r="K484" s="92">
        <f t="shared" si="1"/>
        <v>0.7145833333</v>
      </c>
      <c r="L484" s="92" t="str">
        <f>IFERROR(VLOOKUP(D484,'Công T5'!$C$7:$F$89,2,0),"")</f>
        <v/>
      </c>
      <c r="M484" s="92" t="str">
        <f>IFERROR(VLOOKUP(D484,'Công T5'!$C$7:$F$89,3,0),"")</f>
        <v/>
      </c>
      <c r="N484" s="92">
        <f t="shared" si="9"/>
        <v>0.3333333333</v>
      </c>
      <c r="O484" s="92">
        <f t="shared" si="2"/>
        <v>0.7083333333</v>
      </c>
      <c r="P484" s="94">
        <f t="shared" si="3"/>
        <v>0.5</v>
      </c>
      <c r="Q484" s="94">
        <f t="shared" si="4"/>
        <v>0.5</v>
      </c>
      <c r="R484" s="95">
        <f t="shared" si="5"/>
        <v>1</v>
      </c>
      <c r="S484" s="95">
        <f t="shared" si="6"/>
        <v>0</v>
      </c>
      <c r="T484" s="95">
        <f t="shared" si="7"/>
        <v>0</v>
      </c>
    </row>
    <row r="485">
      <c r="A485" s="96">
        <v>216.0</v>
      </c>
      <c r="B485" s="97">
        <v>44691.0</v>
      </c>
      <c r="C485" s="96">
        <v>10360.0</v>
      </c>
      <c r="D485" s="98" t="s">
        <v>82</v>
      </c>
      <c r="E485" s="104"/>
      <c r="F485" s="99">
        <v>0.32708333333333334</v>
      </c>
      <c r="G485" s="99">
        <v>0.7270833333333333</v>
      </c>
      <c r="H485" s="101"/>
      <c r="I485" s="92" t="str">
        <f>IFERROR(VLOOKUP(D485,'Công T5'!$C$7:$F$89,4,0),"")</f>
        <v>NV</v>
      </c>
      <c r="J485" s="92">
        <f t="shared" si="8"/>
        <v>0.3270833333</v>
      </c>
      <c r="K485" s="92">
        <f t="shared" si="1"/>
        <v>0.7270833333</v>
      </c>
      <c r="L485" s="92" t="str">
        <f>IFERROR(VLOOKUP(D485,'Công T5'!$C$7:$F$89,2,0),"")</f>
        <v/>
      </c>
      <c r="M485" s="92" t="str">
        <f>IFERROR(VLOOKUP(D485,'Công T5'!$C$7:$F$89,3,0),"")</f>
        <v/>
      </c>
      <c r="N485" s="92">
        <f t="shared" si="9"/>
        <v>0.3333333333</v>
      </c>
      <c r="O485" s="92">
        <f t="shared" si="2"/>
        <v>0.7083333333</v>
      </c>
      <c r="P485" s="94">
        <f t="shared" si="3"/>
        <v>0.5</v>
      </c>
      <c r="Q485" s="94">
        <f t="shared" si="4"/>
        <v>0.5</v>
      </c>
      <c r="R485" s="95">
        <f t="shared" si="5"/>
        <v>1</v>
      </c>
      <c r="S485" s="95">
        <f t="shared" si="6"/>
        <v>0</v>
      </c>
      <c r="T485" s="95">
        <f t="shared" si="7"/>
        <v>0</v>
      </c>
    </row>
    <row r="486">
      <c r="A486" s="96">
        <v>217.0</v>
      </c>
      <c r="B486" s="103">
        <v>44692.0</v>
      </c>
      <c r="C486" s="96">
        <v>10360.0</v>
      </c>
      <c r="D486" s="98" t="s">
        <v>82</v>
      </c>
      <c r="E486" s="104"/>
      <c r="F486" s="99">
        <v>0.3277777777777778</v>
      </c>
      <c r="G486" s="99">
        <v>0.7215277777777778</v>
      </c>
      <c r="H486" s="101"/>
      <c r="I486" s="92" t="str">
        <f>IFERROR(VLOOKUP(D486,'Công T5'!$C$7:$F$89,4,0),"")</f>
        <v>NV</v>
      </c>
      <c r="J486" s="92">
        <f t="shared" si="8"/>
        <v>0.3277777778</v>
      </c>
      <c r="K486" s="92">
        <f t="shared" si="1"/>
        <v>0.7215277778</v>
      </c>
      <c r="L486" s="92" t="str">
        <f>IFERROR(VLOOKUP(D486,'Công T5'!$C$7:$F$89,2,0),"")</f>
        <v/>
      </c>
      <c r="M486" s="92" t="str">
        <f>IFERROR(VLOOKUP(D486,'Công T5'!$C$7:$F$89,3,0),"")</f>
        <v/>
      </c>
      <c r="N486" s="92">
        <f t="shared" si="9"/>
        <v>0.3333333333</v>
      </c>
      <c r="O486" s="92">
        <f t="shared" si="2"/>
        <v>0.7083333333</v>
      </c>
      <c r="P486" s="94">
        <f t="shared" si="3"/>
        <v>0.5</v>
      </c>
      <c r="Q486" s="94">
        <f t="shared" si="4"/>
        <v>0.5</v>
      </c>
      <c r="R486" s="95">
        <f t="shared" si="5"/>
        <v>1</v>
      </c>
      <c r="S486" s="95">
        <f t="shared" si="6"/>
        <v>0</v>
      </c>
      <c r="T486" s="95">
        <f t="shared" si="7"/>
        <v>0</v>
      </c>
    </row>
    <row r="487">
      <c r="A487" s="96">
        <v>218.0</v>
      </c>
      <c r="B487" s="97">
        <v>44693.0</v>
      </c>
      <c r="C487" s="96">
        <v>10360.0</v>
      </c>
      <c r="D487" s="98" t="s">
        <v>82</v>
      </c>
      <c r="E487" s="104"/>
      <c r="F487" s="99">
        <v>0.33055555555555555</v>
      </c>
      <c r="G487" s="99">
        <v>0.7222222222222222</v>
      </c>
      <c r="H487" s="101"/>
      <c r="I487" s="92" t="str">
        <f>IFERROR(VLOOKUP(D487,'Công T5'!$C$7:$F$89,4,0),"")</f>
        <v>NV</v>
      </c>
      <c r="J487" s="92">
        <f t="shared" si="8"/>
        <v>0.3305555556</v>
      </c>
      <c r="K487" s="92">
        <f t="shared" si="1"/>
        <v>0.7222222222</v>
      </c>
      <c r="L487" s="92" t="str">
        <f>IFERROR(VLOOKUP(D487,'Công T5'!$C$7:$F$89,2,0),"")</f>
        <v/>
      </c>
      <c r="M487" s="92" t="str">
        <f>IFERROR(VLOOKUP(D487,'Công T5'!$C$7:$F$89,3,0),"")</f>
        <v/>
      </c>
      <c r="N487" s="92">
        <f t="shared" si="9"/>
        <v>0.3333333333</v>
      </c>
      <c r="O487" s="92">
        <f t="shared" si="2"/>
        <v>0.7083333333</v>
      </c>
      <c r="P487" s="94">
        <f t="shared" si="3"/>
        <v>0.5</v>
      </c>
      <c r="Q487" s="94">
        <f t="shared" si="4"/>
        <v>0.5</v>
      </c>
      <c r="R487" s="95">
        <f t="shared" si="5"/>
        <v>1</v>
      </c>
      <c r="S487" s="95">
        <f t="shared" si="6"/>
        <v>0</v>
      </c>
      <c r="T487" s="95">
        <f t="shared" si="7"/>
        <v>0</v>
      </c>
    </row>
    <row r="488">
      <c r="A488" s="96">
        <v>219.0</v>
      </c>
      <c r="B488" s="97">
        <v>44694.0</v>
      </c>
      <c r="C488" s="96">
        <v>10360.0</v>
      </c>
      <c r="D488" s="98" t="s">
        <v>82</v>
      </c>
      <c r="E488" s="104"/>
      <c r="F488" s="99">
        <v>0.33055555555555555</v>
      </c>
      <c r="G488" s="99">
        <v>0.7256944444444444</v>
      </c>
      <c r="H488" s="101"/>
      <c r="I488" s="92" t="str">
        <f>IFERROR(VLOOKUP(D488,'Công T5'!$C$7:$F$89,4,0),"")</f>
        <v>NV</v>
      </c>
      <c r="J488" s="92">
        <f t="shared" si="8"/>
        <v>0.3305555556</v>
      </c>
      <c r="K488" s="92">
        <f t="shared" si="1"/>
        <v>0.7256944444</v>
      </c>
      <c r="L488" s="92" t="str">
        <f>IFERROR(VLOOKUP(D488,'Công T5'!$C$7:$F$89,2,0),"")</f>
        <v/>
      </c>
      <c r="M488" s="92" t="str">
        <f>IFERROR(VLOOKUP(D488,'Công T5'!$C$7:$F$89,3,0),"")</f>
        <v/>
      </c>
      <c r="N488" s="92">
        <f t="shared" si="9"/>
        <v>0.3333333333</v>
      </c>
      <c r="O488" s="92">
        <f t="shared" si="2"/>
        <v>0.7083333333</v>
      </c>
      <c r="P488" s="94">
        <f t="shared" si="3"/>
        <v>0.5</v>
      </c>
      <c r="Q488" s="94">
        <f t="shared" si="4"/>
        <v>0.5</v>
      </c>
      <c r="R488" s="95">
        <f t="shared" si="5"/>
        <v>1</v>
      </c>
      <c r="S488" s="95">
        <f t="shared" si="6"/>
        <v>0</v>
      </c>
      <c r="T488" s="95">
        <f t="shared" si="7"/>
        <v>0</v>
      </c>
    </row>
    <row r="489">
      <c r="A489" s="96">
        <v>220.0</v>
      </c>
      <c r="B489" s="97">
        <v>44695.0</v>
      </c>
      <c r="C489" s="96">
        <v>10360.0</v>
      </c>
      <c r="D489" s="98" t="s">
        <v>82</v>
      </c>
      <c r="E489" s="104"/>
      <c r="F489" s="99">
        <v>0.5458333333333333</v>
      </c>
      <c r="G489" s="102"/>
      <c r="H489" s="101"/>
      <c r="I489" s="92" t="str">
        <f>IFERROR(VLOOKUP(D489,'Công T5'!$C$7:$F$89,4,0),"")</f>
        <v>NV</v>
      </c>
      <c r="J489" s="92">
        <f t="shared" si="8"/>
        <v>0.5458333333</v>
      </c>
      <c r="K489" s="92" t="str">
        <f t="shared" si="1"/>
        <v/>
      </c>
      <c r="L489" s="92" t="str">
        <f>IFERROR(VLOOKUP(D489,'Công T5'!$C$7:$F$89,2,0),"")</f>
        <v/>
      </c>
      <c r="M489" s="92" t="str">
        <f>IFERROR(VLOOKUP(D489,'Công T5'!$C$7:$F$89,3,0),"")</f>
        <v/>
      </c>
      <c r="N489" s="92">
        <f t="shared" si="9"/>
        <v>0.5458333333</v>
      </c>
      <c r="O489" s="92" t="str">
        <f t="shared" si="2"/>
        <v/>
      </c>
      <c r="P489" s="94">
        <f t="shared" si="3"/>
        <v>0</v>
      </c>
      <c r="Q489" s="94" t="str">
        <f t="shared" si="4"/>
        <v/>
      </c>
      <c r="R489" s="95">
        <f t="shared" si="5"/>
        <v>0.5</v>
      </c>
      <c r="S489" s="95" t="str">
        <f t="shared" si="6"/>
        <v/>
      </c>
      <c r="T489" s="95">
        <f t="shared" si="7"/>
        <v>1</v>
      </c>
    </row>
    <row r="490">
      <c r="A490" s="96">
        <v>221.0</v>
      </c>
      <c r="B490" s="97">
        <v>44696.0</v>
      </c>
      <c r="C490" s="96">
        <v>10360.0</v>
      </c>
      <c r="D490" s="98" t="s">
        <v>82</v>
      </c>
      <c r="E490" s="104"/>
      <c r="F490" s="99">
        <v>0.4270833333333333</v>
      </c>
      <c r="G490" s="99">
        <v>0.7423611111111111</v>
      </c>
      <c r="H490" s="101"/>
      <c r="I490" s="92" t="str">
        <f>IFERROR(VLOOKUP(D490,'Công T5'!$C$7:$F$89,4,0),"")</f>
        <v>NV</v>
      </c>
      <c r="J490" s="92">
        <f t="shared" si="8"/>
        <v>0.4270833333</v>
      </c>
      <c r="K490" s="92">
        <f t="shared" si="1"/>
        <v>0.7423611111</v>
      </c>
      <c r="L490" s="92" t="str">
        <f>IFERROR(VLOOKUP(D490,'Công T5'!$C$7:$F$89,2,0),"")</f>
        <v/>
      </c>
      <c r="M490" s="92" t="str">
        <f>IFERROR(VLOOKUP(D490,'Công T5'!$C$7:$F$89,3,0),"")</f>
        <v/>
      </c>
      <c r="N490" s="92">
        <f t="shared" si="9"/>
        <v>0.4270833333</v>
      </c>
      <c r="O490" s="92">
        <f t="shared" si="2"/>
        <v>0.7083333333</v>
      </c>
      <c r="P490" s="94">
        <f t="shared" si="3"/>
        <v>0.21875</v>
      </c>
      <c r="Q490" s="94">
        <f t="shared" si="4"/>
        <v>0.5</v>
      </c>
      <c r="R490" s="95">
        <f t="shared" si="5"/>
        <v>0.71875</v>
      </c>
      <c r="S490" s="95">
        <f t="shared" si="6"/>
        <v>1</v>
      </c>
      <c r="T490" s="95">
        <f t="shared" si="7"/>
        <v>0</v>
      </c>
    </row>
    <row r="491">
      <c r="A491" s="96">
        <v>222.0</v>
      </c>
      <c r="B491" s="103">
        <v>44697.0</v>
      </c>
      <c r="C491" s="96">
        <v>10360.0</v>
      </c>
      <c r="D491" s="98" t="s">
        <v>82</v>
      </c>
      <c r="E491" s="104"/>
      <c r="F491" s="99">
        <v>0.2791666666666667</v>
      </c>
      <c r="G491" s="99">
        <v>0.9652777777777778</v>
      </c>
      <c r="H491" s="101"/>
      <c r="I491" s="92" t="str">
        <f>IFERROR(VLOOKUP(D491,'Công T5'!$C$7:$F$89,4,0),"")</f>
        <v>NV</v>
      </c>
      <c r="J491" s="92">
        <f t="shared" si="8"/>
        <v>0.2791666667</v>
      </c>
      <c r="K491" s="92">
        <f t="shared" si="1"/>
        <v>0.9652777778</v>
      </c>
      <c r="L491" s="92" t="str">
        <f>IFERROR(VLOOKUP(D491,'Công T5'!$C$7:$F$89,2,0),"")</f>
        <v/>
      </c>
      <c r="M491" s="92" t="str">
        <f>IFERROR(VLOOKUP(D491,'Công T5'!$C$7:$F$89,3,0),"")</f>
        <v/>
      </c>
      <c r="N491" s="92">
        <f t="shared" si="9"/>
        <v>0.3333333333</v>
      </c>
      <c r="O491" s="92">
        <f t="shared" si="2"/>
        <v>0.7083333333</v>
      </c>
      <c r="P491" s="94">
        <f t="shared" si="3"/>
        <v>0.5</v>
      </c>
      <c r="Q491" s="94">
        <f t="shared" si="4"/>
        <v>0.5</v>
      </c>
      <c r="R491" s="95">
        <f t="shared" si="5"/>
        <v>1</v>
      </c>
      <c r="S491" s="95">
        <f t="shared" si="6"/>
        <v>0</v>
      </c>
      <c r="T491" s="95">
        <f t="shared" si="7"/>
        <v>0</v>
      </c>
    </row>
    <row r="492">
      <c r="A492" s="96">
        <v>223.0</v>
      </c>
      <c r="B492" s="97">
        <v>44698.0</v>
      </c>
      <c r="C492" s="96">
        <v>10360.0</v>
      </c>
      <c r="D492" s="98" t="s">
        <v>82</v>
      </c>
      <c r="E492" s="104"/>
      <c r="F492" s="99">
        <v>0.26944444444444443</v>
      </c>
      <c r="G492" s="99">
        <v>0.7840277777777778</v>
      </c>
      <c r="H492" s="101"/>
      <c r="I492" s="92" t="str">
        <f>IFERROR(VLOOKUP(D492,'Công T5'!$C$7:$F$89,4,0),"")</f>
        <v>NV</v>
      </c>
      <c r="J492" s="92">
        <f t="shared" si="8"/>
        <v>0.2694444444</v>
      </c>
      <c r="K492" s="92">
        <f t="shared" si="1"/>
        <v>0.7840277778</v>
      </c>
      <c r="L492" s="92" t="str">
        <f>IFERROR(VLOOKUP(D492,'Công T5'!$C$7:$F$89,2,0),"")</f>
        <v/>
      </c>
      <c r="M492" s="92" t="str">
        <f>IFERROR(VLOOKUP(D492,'Công T5'!$C$7:$F$89,3,0),"")</f>
        <v/>
      </c>
      <c r="N492" s="92">
        <f t="shared" si="9"/>
        <v>0.3333333333</v>
      </c>
      <c r="O492" s="92">
        <f t="shared" si="2"/>
        <v>0.7083333333</v>
      </c>
      <c r="P492" s="94">
        <f t="shared" si="3"/>
        <v>0.5</v>
      </c>
      <c r="Q492" s="94">
        <f t="shared" si="4"/>
        <v>0.5</v>
      </c>
      <c r="R492" s="95">
        <f t="shared" si="5"/>
        <v>1</v>
      </c>
      <c r="S492" s="95">
        <f t="shared" si="6"/>
        <v>0</v>
      </c>
      <c r="T492" s="95">
        <f t="shared" si="7"/>
        <v>0</v>
      </c>
    </row>
    <row r="493">
      <c r="A493" s="96">
        <v>224.0</v>
      </c>
      <c r="B493" s="97">
        <v>44699.0</v>
      </c>
      <c r="C493" s="96">
        <v>10360.0</v>
      </c>
      <c r="D493" s="98" t="s">
        <v>82</v>
      </c>
      <c r="E493" s="104"/>
      <c r="F493" s="99">
        <v>0.33055555555555555</v>
      </c>
      <c r="G493" s="99">
        <v>0.7423611111111111</v>
      </c>
      <c r="H493" s="101"/>
      <c r="I493" s="92" t="str">
        <f>IFERROR(VLOOKUP(D493,'Công T5'!$C$7:$F$89,4,0),"")</f>
        <v>NV</v>
      </c>
      <c r="J493" s="92">
        <f t="shared" si="8"/>
        <v>0.3305555556</v>
      </c>
      <c r="K493" s="92">
        <f t="shared" si="1"/>
        <v>0.7423611111</v>
      </c>
      <c r="L493" s="92" t="str">
        <f>IFERROR(VLOOKUP(D493,'Công T5'!$C$7:$F$89,2,0),"")</f>
        <v/>
      </c>
      <c r="M493" s="92" t="str">
        <f>IFERROR(VLOOKUP(D493,'Công T5'!$C$7:$F$89,3,0),"")</f>
        <v/>
      </c>
      <c r="N493" s="92">
        <f t="shared" si="9"/>
        <v>0.3333333333</v>
      </c>
      <c r="O493" s="92">
        <f t="shared" si="2"/>
        <v>0.7083333333</v>
      </c>
      <c r="P493" s="94">
        <f t="shared" si="3"/>
        <v>0.5</v>
      </c>
      <c r="Q493" s="94">
        <f t="shared" si="4"/>
        <v>0.5</v>
      </c>
      <c r="R493" s="95">
        <f t="shared" si="5"/>
        <v>1</v>
      </c>
      <c r="S493" s="95">
        <f t="shared" si="6"/>
        <v>0</v>
      </c>
      <c r="T493" s="95">
        <f t="shared" si="7"/>
        <v>0</v>
      </c>
    </row>
    <row r="494">
      <c r="A494" s="96">
        <v>225.0</v>
      </c>
      <c r="B494" s="103">
        <v>44700.0</v>
      </c>
      <c r="C494" s="96">
        <v>10360.0</v>
      </c>
      <c r="D494" s="98" t="s">
        <v>82</v>
      </c>
      <c r="E494" s="104"/>
      <c r="F494" s="99">
        <v>0.9125</v>
      </c>
      <c r="G494" s="102"/>
      <c r="H494" s="101"/>
      <c r="I494" s="92" t="str">
        <f>IFERROR(VLOOKUP(D494,'Công T5'!$C$7:$F$89,4,0),"")</f>
        <v>NV</v>
      </c>
      <c r="J494" s="92">
        <f t="shared" si="8"/>
        <v>0.9125</v>
      </c>
      <c r="K494" s="92" t="str">
        <f t="shared" si="1"/>
        <v/>
      </c>
      <c r="L494" s="92" t="str">
        <f>IFERROR(VLOOKUP(D494,'Công T5'!$C$7:$F$89,2,0),"")</f>
        <v/>
      </c>
      <c r="M494" s="92" t="str">
        <f>IFERROR(VLOOKUP(D494,'Công T5'!$C$7:$F$89,3,0),"")</f>
        <v/>
      </c>
      <c r="N494" s="92">
        <f t="shared" si="9"/>
        <v>0.9125</v>
      </c>
      <c r="O494" s="92" t="str">
        <f t="shared" si="2"/>
        <v/>
      </c>
      <c r="P494" s="94">
        <f t="shared" si="3"/>
        <v>0</v>
      </c>
      <c r="Q494" s="94" t="str">
        <f t="shared" si="4"/>
        <v/>
      </c>
      <c r="R494" s="95">
        <f t="shared" si="5"/>
        <v>0.5</v>
      </c>
      <c r="S494" s="95" t="str">
        <f t="shared" si="6"/>
        <v/>
      </c>
      <c r="T494" s="95">
        <f t="shared" si="7"/>
        <v>1</v>
      </c>
    </row>
    <row r="495">
      <c r="A495" s="96">
        <v>226.0</v>
      </c>
      <c r="B495" s="103">
        <v>44701.0</v>
      </c>
      <c r="C495" s="96">
        <v>10360.0</v>
      </c>
      <c r="D495" s="98" t="s">
        <v>82</v>
      </c>
      <c r="E495" s="104"/>
      <c r="F495" s="99">
        <v>0.27152777777777776</v>
      </c>
      <c r="G495" s="99">
        <v>0.9659722222222222</v>
      </c>
      <c r="H495" s="101"/>
      <c r="I495" s="92" t="str">
        <f>IFERROR(VLOOKUP(D495,'Công T5'!$C$7:$F$89,4,0),"")</f>
        <v>NV</v>
      </c>
      <c r="J495" s="92">
        <f t="shared" si="8"/>
        <v>0.2715277778</v>
      </c>
      <c r="K495" s="92">
        <f t="shared" si="1"/>
        <v>0.9659722222</v>
      </c>
      <c r="L495" s="92" t="str">
        <f>IFERROR(VLOOKUP(D495,'Công T5'!$C$7:$F$89,2,0),"")</f>
        <v/>
      </c>
      <c r="M495" s="92" t="str">
        <f>IFERROR(VLOOKUP(D495,'Công T5'!$C$7:$F$89,3,0),"")</f>
        <v/>
      </c>
      <c r="N495" s="92">
        <f t="shared" si="9"/>
        <v>0.3333333333</v>
      </c>
      <c r="O495" s="92">
        <f t="shared" si="2"/>
        <v>0.7083333333</v>
      </c>
      <c r="P495" s="94">
        <f t="shared" si="3"/>
        <v>0.5</v>
      </c>
      <c r="Q495" s="94">
        <f t="shared" si="4"/>
        <v>0.5</v>
      </c>
      <c r="R495" s="95">
        <f t="shared" si="5"/>
        <v>1</v>
      </c>
      <c r="S495" s="95">
        <f t="shared" si="6"/>
        <v>0</v>
      </c>
      <c r="T495" s="95">
        <f t="shared" si="7"/>
        <v>0</v>
      </c>
    </row>
    <row r="496">
      <c r="A496" s="96">
        <v>227.0</v>
      </c>
      <c r="B496" s="97">
        <v>44702.0</v>
      </c>
      <c r="C496" s="96">
        <v>10360.0</v>
      </c>
      <c r="D496" s="98" t="s">
        <v>82</v>
      </c>
      <c r="E496" s="104"/>
      <c r="F496" s="99">
        <v>0.3333333333333333</v>
      </c>
      <c r="G496" s="99">
        <v>0.71875</v>
      </c>
      <c r="H496" s="101"/>
      <c r="I496" s="92" t="str">
        <f>IFERROR(VLOOKUP(D496,'Công T5'!$C$7:$F$89,4,0),"")</f>
        <v>NV</v>
      </c>
      <c r="J496" s="92">
        <f t="shared" si="8"/>
        <v>0.3333333333</v>
      </c>
      <c r="K496" s="92">
        <f t="shared" si="1"/>
        <v>0.71875</v>
      </c>
      <c r="L496" s="92" t="str">
        <f>IFERROR(VLOOKUP(D496,'Công T5'!$C$7:$F$89,2,0),"")</f>
        <v/>
      </c>
      <c r="M496" s="92" t="str">
        <f>IFERROR(VLOOKUP(D496,'Công T5'!$C$7:$F$89,3,0),"")</f>
        <v/>
      </c>
      <c r="N496" s="92">
        <f t="shared" si="9"/>
        <v>0.3333333333</v>
      </c>
      <c r="O496" s="92">
        <f t="shared" si="2"/>
        <v>0.7083333333</v>
      </c>
      <c r="P496" s="94">
        <f t="shared" si="3"/>
        <v>0.5</v>
      </c>
      <c r="Q496" s="94">
        <f t="shared" si="4"/>
        <v>0.5</v>
      </c>
      <c r="R496" s="95">
        <f t="shared" si="5"/>
        <v>1</v>
      </c>
      <c r="S496" s="95">
        <f t="shared" si="6"/>
        <v>0</v>
      </c>
      <c r="T496" s="95">
        <f t="shared" si="7"/>
        <v>0</v>
      </c>
    </row>
    <row r="497">
      <c r="A497" s="96">
        <v>228.0</v>
      </c>
      <c r="B497" s="97">
        <v>44703.0</v>
      </c>
      <c r="C497" s="96">
        <v>10360.0</v>
      </c>
      <c r="D497" s="98" t="s">
        <v>82</v>
      </c>
      <c r="E497" s="104"/>
      <c r="F497" s="99">
        <v>0.33194444444444443</v>
      </c>
      <c r="G497" s="99">
        <v>0.7201388888888889</v>
      </c>
      <c r="H497" s="101"/>
      <c r="I497" s="92" t="str">
        <f>IFERROR(VLOOKUP(D497,'Công T5'!$C$7:$F$89,4,0),"")</f>
        <v>NV</v>
      </c>
      <c r="J497" s="92">
        <f t="shared" si="8"/>
        <v>0.3319444444</v>
      </c>
      <c r="K497" s="92">
        <f t="shared" si="1"/>
        <v>0.7201388889</v>
      </c>
      <c r="L497" s="92" t="str">
        <f>IFERROR(VLOOKUP(D497,'Công T5'!$C$7:$F$89,2,0),"")</f>
        <v/>
      </c>
      <c r="M497" s="92" t="str">
        <f>IFERROR(VLOOKUP(D497,'Công T5'!$C$7:$F$89,3,0),"")</f>
        <v/>
      </c>
      <c r="N497" s="92">
        <f t="shared" si="9"/>
        <v>0.3333333333</v>
      </c>
      <c r="O497" s="92">
        <f t="shared" si="2"/>
        <v>0.7083333333</v>
      </c>
      <c r="P497" s="94">
        <f t="shared" si="3"/>
        <v>0.5</v>
      </c>
      <c r="Q497" s="94">
        <f t="shared" si="4"/>
        <v>0.5</v>
      </c>
      <c r="R497" s="95">
        <f t="shared" si="5"/>
        <v>1</v>
      </c>
      <c r="S497" s="95">
        <f t="shared" si="6"/>
        <v>0</v>
      </c>
      <c r="T497" s="95">
        <f t="shared" si="7"/>
        <v>0</v>
      </c>
    </row>
    <row r="498">
      <c r="A498" s="96">
        <v>229.0</v>
      </c>
      <c r="B498" s="97">
        <v>44704.0</v>
      </c>
      <c r="C498" s="96">
        <v>10360.0</v>
      </c>
      <c r="D498" s="98" t="s">
        <v>82</v>
      </c>
      <c r="E498" s="104"/>
      <c r="F498" s="99">
        <v>0.3284722222222222</v>
      </c>
      <c r="G498" s="99">
        <v>0.8319444444444445</v>
      </c>
      <c r="H498" s="101"/>
      <c r="I498" s="92" t="str">
        <f>IFERROR(VLOOKUP(D498,'Công T5'!$C$7:$F$89,4,0),"")</f>
        <v>NV</v>
      </c>
      <c r="J498" s="92">
        <f t="shared" si="8"/>
        <v>0.3284722222</v>
      </c>
      <c r="K498" s="92">
        <f t="shared" si="1"/>
        <v>0.8319444444</v>
      </c>
      <c r="L498" s="92" t="str">
        <f>IFERROR(VLOOKUP(D498,'Công T5'!$C$7:$F$89,2,0),"")</f>
        <v/>
      </c>
      <c r="M498" s="92" t="str">
        <f>IFERROR(VLOOKUP(D498,'Công T5'!$C$7:$F$89,3,0),"")</f>
        <v/>
      </c>
      <c r="N498" s="92">
        <f t="shared" si="9"/>
        <v>0.3333333333</v>
      </c>
      <c r="O498" s="92">
        <f t="shared" si="2"/>
        <v>0.7083333333</v>
      </c>
      <c r="P498" s="94">
        <f t="shared" si="3"/>
        <v>0.5</v>
      </c>
      <c r="Q498" s="94">
        <f t="shared" si="4"/>
        <v>0.5</v>
      </c>
      <c r="R498" s="95">
        <f t="shared" si="5"/>
        <v>1</v>
      </c>
      <c r="S498" s="95">
        <f t="shared" si="6"/>
        <v>0</v>
      </c>
      <c r="T498" s="95">
        <f t="shared" si="7"/>
        <v>0</v>
      </c>
    </row>
    <row r="499">
      <c r="A499" s="96">
        <v>230.0</v>
      </c>
      <c r="B499" s="103">
        <v>44705.0</v>
      </c>
      <c r="C499" s="96">
        <v>10360.0</v>
      </c>
      <c r="D499" s="98" t="s">
        <v>82</v>
      </c>
      <c r="E499" s="104"/>
      <c r="F499" s="99">
        <v>0.3236111111111111</v>
      </c>
      <c r="G499" s="99">
        <v>0.7597222222222222</v>
      </c>
      <c r="H499" s="101"/>
      <c r="I499" s="92" t="str">
        <f>IFERROR(VLOOKUP(D499,'Công T5'!$C$7:$F$89,4,0),"")</f>
        <v>NV</v>
      </c>
      <c r="J499" s="92">
        <f t="shared" si="8"/>
        <v>0.3236111111</v>
      </c>
      <c r="K499" s="92">
        <f t="shared" si="1"/>
        <v>0.9659722222</v>
      </c>
      <c r="L499" s="92" t="str">
        <f>IFERROR(VLOOKUP(D499,'Công T5'!$C$7:$F$89,2,0),"")</f>
        <v/>
      </c>
      <c r="M499" s="92" t="str">
        <f>IFERROR(VLOOKUP(D499,'Công T5'!$C$7:$F$89,3,0),"")</f>
        <v/>
      </c>
      <c r="N499" s="92">
        <f t="shared" si="9"/>
        <v>0.3333333333</v>
      </c>
      <c r="O499" s="92">
        <f t="shared" si="2"/>
        <v>0.7083333333</v>
      </c>
      <c r="P499" s="94">
        <f t="shared" si="3"/>
        <v>0.5</v>
      </c>
      <c r="Q499" s="94">
        <f t="shared" si="4"/>
        <v>0.5</v>
      </c>
      <c r="R499" s="95">
        <f t="shared" si="5"/>
        <v>1</v>
      </c>
      <c r="S499" s="95">
        <f t="shared" si="6"/>
        <v>0</v>
      </c>
      <c r="T499" s="95">
        <f t="shared" si="7"/>
        <v>0</v>
      </c>
    </row>
    <row r="500">
      <c r="A500" s="96">
        <v>231.0</v>
      </c>
      <c r="B500" s="97">
        <v>44705.0</v>
      </c>
      <c r="C500" s="96">
        <v>10360.0</v>
      </c>
      <c r="D500" s="98" t="s">
        <v>82</v>
      </c>
      <c r="E500" s="104"/>
      <c r="F500" s="99">
        <v>0.9659722222222222</v>
      </c>
      <c r="G500" s="102"/>
      <c r="H500" s="101"/>
      <c r="I500" s="92" t="str">
        <f>IFERROR(VLOOKUP(D500,'Công T5'!$C$7:$F$89,4,0),"")</f>
        <v>NV</v>
      </c>
      <c r="J500" s="92">
        <f t="shared" si="8"/>
        <v>0.9659722222</v>
      </c>
      <c r="K500" s="92" t="str">
        <f t="shared" si="1"/>
        <v/>
      </c>
      <c r="L500" s="92" t="str">
        <f>IFERROR(VLOOKUP(D500,'Công T5'!$C$7:$F$89,2,0),"")</f>
        <v/>
      </c>
      <c r="M500" s="92" t="str">
        <f>IFERROR(VLOOKUP(D500,'Công T5'!$C$7:$F$89,3,0),"")</f>
        <v/>
      </c>
      <c r="N500" s="92">
        <f t="shared" si="9"/>
        <v>0.9659722222</v>
      </c>
      <c r="O500" s="92" t="str">
        <f t="shared" si="2"/>
        <v/>
      </c>
      <c r="P500" s="94">
        <f t="shared" si="3"/>
        <v>0</v>
      </c>
      <c r="Q500" s="94" t="str">
        <f t="shared" si="4"/>
        <v/>
      </c>
      <c r="R500" s="95">
        <f t="shared" si="5"/>
        <v>0.5</v>
      </c>
      <c r="S500" s="95" t="str">
        <f t="shared" si="6"/>
        <v/>
      </c>
      <c r="T500" s="95">
        <f t="shared" si="7"/>
        <v>1</v>
      </c>
    </row>
    <row r="501">
      <c r="A501" s="96">
        <v>232.0</v>
      </c>
      <c r="B501" s="103">
        <v>44706.0</v>
      </c>
      <c r="C501" s="96">
        <v>10360.0</v>
      </c>
      <c r="D501" s="98" t="s">
        <v>82</v>
      </c>
      <c r="E501" s="104"/>
      <c r="F501" s="99">
        <v>0.2826388888888889</v>
      </c>
      <c r="G501" s="99">
        <v>0.7284722222222222</v>
      </c>
      <c r="H501" s="101"/>
      <c r="I501" s="92" t="str">
        <f>IFERROR(VLOOKUP(D501,'Công T5'!$C$7:$F$89,4,0),"")</f>
        <v>NV</v>
      </c>
      <c r="J501" s="92">
        <f t="shared" si="8"/>
        <v>0.2826388889</v>
      </c>
      <c r="K501" s="92">
        <f t="shared" si="1"/>
        <v>0.7284722222</v>
      </c>
      <c r="L501" s="92" t="str">
        <f>IFERROR(VLOOKUP(D501,'Công T5'!$C$7:$F$89,2,0),"")</f>
        <v/>
      </c>
      <c r="M501" s="92" t="str">
        <f>IFERROR(VLOOKUP(D501,'Công T5'!$C$7:$F$89,3,0),"")</f>
        <v/>
      </c>
      <c r="N501" s="92">
        <f t="shared" si="9"/>
        <v>0.3333333333</v>
      </c>
      <c r="O501" s="92">
        <f t="shared" si="2"/>
        <v>0.7083333333</v>
      </c>
      <c r="P501" s="94">
        <f t="shared" si="3"/>
        <v>0.5</v>
      </c>
      <c r="Q501" s="94">
        <f t="shared" si="4"/>
        <v>0.5</v>
      </c>
      <c r="R501" s="95">
        <f t="shared" si="5"/>
        <v>1</v>
      </c>
      <c r="S501" s="95">
        <f t="shared" si="6"/>
        <v>0</v>
      </c>
      <c r="T501" s="95">
        <f t="shared" si="7"/>
        <v>0</v>
      </c>
    </row>
    <row r="502">
      <c r="A502" s="89" t="s">
        <v>163</v>
      </c>
      <c r="B502" s="90"/>
      <c r="C502" s="90"/>
      <c r="D502" s="90"/>
      <c r="E502" s="90"/>
      <c r="F502" s="90"/>
      <c r="G502" s="90"/>
      <c r="H502" s="91"/>
      <c r="I502" s="92" t="str">
        <f>IFERROR(VLOOKUP(D502,'Công T5'!$C$7:$F$89,4,0),"")</f>
        <v/>
      </c>
      <c r="J502" s="92" t="str">
        <f t="shared" si="8"/>
        <v/>
      </c>
      <c r="K502" s="92" t="str">
        <f t="shared" si="1"/>
        <v/>
      </c>
      <c r="L502" s="92" t="str">
        <f>IFERROR(VLOOKUP(D502,'Công T5'!$C$7:$F$89,2,0),"")</f>
        <v/>
      </c>
      <c r="M502" s="92" t="str">
        <f>IFERROR(VLOOKUP(D502,'Công T5'!$C$7:$F$89,3,0),"")</f>
        <v/>
      </c>
      <c r="N502" s="92" t="str">
        <f t="shared" si="9"/>
        <v/>
      </c>
      <c r="O502" s="92" t="str">
        <f t="shared" si="2"/>
        <v/>
      </c>
      <c r="P502" s="94">
        <f t="shared" si="3"/>
        <v>0</v>
      </c>
      <c r="Q502" s="94" t="str">
        <f t="shared" si="4"/>
        <v/>
      </c>
      <c r="R502" s="95">
        <f t="shared" si="5"/>
        <v>0</v>
      </c>
      <c r="S502" s="95">
        <f t="shared" si="6"/>
        <v>0</v>
      </c>
      <c r="T502" s="95" t="str">
        <f t="shared" si="7"/>
        <v/>
      </c>
    </row>
    <row r="503">
      <c r="A503" s="96">
        <v>1.0</v>
      </c>
      <c r="B503" s="97">
        <v>44677.0</v>
      </c>
      <c r="C503" s="96">
        <v>10023.0</v>
      </c>
      <c r="D503" s="98" t="s">
        <v>97</v>
      </c>
      <c r="E503" s="98" t="s">
        <v>159</v>
      </c>
      <c r="F503" s="99">
        <v>0.3659722222222222</v>
      </c>
      <c r="G503" s="102"/>
      <c r="H503" s="101"/>
      <c r="I503" s="92" t="str">
        <f>IFERROR(VLOOKUP(D503,'Công T5'!$C$7:$F$89,4,0),"")</f>
        <v>NL</v>
      </c>
      <c r="J503" s="92">
        <f t="shared" si="8"/>
        <v>0.3659722222</v>
      </c>
      <c r="K503" s="92" t="str">
        <f t="shared" si="1"/>
        <v/>
      </c>
      <c r="L503" s="92" t="str">
        <f>IFERROR(VLOOKUP(D503,'Công T5'!$C$7:$F$89,2,0),"")</f>
        <v/>
      </c>
      <c r="M503" s="92" t="str">
        <f>IFERROR(VLOOKUP(D503,'Công T5'!$C$7:$F$89,3,0),"")</f>
        <v/>
      </c>
      <c r="N503" s="92">
        <f t="shared" si="9"/>
        <v>0.3659722222</v>
      </c>
      <c r="O503" s="92" t="str">
        <f t="shared" si="2"/>
        <v/>
      </c>
      <c r="P503" s="94">
        <f t="shared" si="3"/>
        <v>0</v>
      </c>
      <c r="Q503" s="94" t="str">
        <f t="shared" si="4"/>
        <v/>
      </c>
      <c r="R503" s="95">
        <f t="shared" si="5"/>
        <v>0.5</v>
      </c>
      <c r="S503" s="95" t="str">
        <f t="shared" si="6"/>
        <v/>
      </c>
      <c r="T503" s="95">
        <f t="shared" si="7"/>
        <v>1</v>
      </c>
    </row>
    <row r="504">
      <c r="A504" s="96">
        <v>2.0</v>
      </c>
      <c r="B504" s="97">
        <v>44679.0</v>
      </c>
      <c r="C504" s="96">
        <v>10023.0</v>
      </c>
      <c r="D504" s="98" t="s">
        <v>97</v>
      </c>
      <c r="E504" s="98" t="s">
        <v>159</v>
      </c>
      <c r="F504" s="99">
        <v>0.38958333333333334</v>
      </c>
      <c r="G504" s="102"/>
      <c r="H504" s="101"/>
      <c r="I504" s="92" t="str">
        <f>IFERROR(VLOOKUP(D504,'Công T5'!$C$7:$F$89,4,0),"")</f>
        <v>NL</v>
      </c>
      <c r="J504" s="92">
        <f t="shared" si="8"/>
        <v>0.3895833333</v>
      </c>
      <c r="K504" s="92" t="str">
        <f t="shared" si="1"/>
        <v/>
      </c>
      <c r="L504" s="92" t="str">
        <f>IFERROR(VLOOKUP(D504,'Công T5'!$C$7:$F$89,2,0),"")</f>
        <v/>
      </c>
      <c r="M504" s="92" t="str">
        <f>IFERROR(VLOOKUP(D504,'Công T5'!$C$7:$F$89,3,0),"")</f>
        <v/>
      </c>
      <c r="N504" s="92">
        <f t="shared" si="9"/>
        <v>0.3895833333</v>
      </c>
      <c r="O504" s="92" t="str">
        <f t="shared" si="2"/>
        <v/>
      </c>
      <c r="P504" s="94">
        <f t="shared" si="3"/>
        <v>0</v>
      </c>
      <c r="Q504" s="94" t="str">
        <f t="shared" si="4"/>
        <v/>
      </c>
      <c r="R504" s="95">
        <f t="shared" si="5"/>
        <v>0.5</v>
      </c>
      <c r="S504" s="95" t="str">
        <f t="shared" si="6"/>
        <v/>
      </c>
      <c r="T504" s="95">
        <f t="shared" si="7"/>
        <v>1</v>
      </c>
    </row>
    <row r="505">
      <c r="A505" s="96">
        <v>3.0</v>
      </c>
      <c r="B505" s="97">
        <v>44680.0</v>
      </c>
      <c r="C505" s="96">
        <v>10023.0</v>
      </c>
      <c r="D505" s="98" t="s">
        <v>97</v>
      </c>
      <c r="E505" s="98" t="s">
        <v>159</v>
      </c>
      <c r="F505" s="99">
        <v>0.4</v>
      </c>
      <c r="G505" s="102"/>
      <c r="H505" s="101"/>
      <c r="I505" s="92" t="str">
        <f>IFERROR(VLOOKUP(D505,'Công T5'!$C$7:$F$89,4,0),"")</f>
        <v>NL</v>
      </c>
      <c r="J505" s="92">
        <f t="shared" si="8"/>
        <v>0.4</v>
      </c>
      <c r="K505" s="92" t="str">
        <f t="shared" si="1"/>
        <v/>
      </c>
      <c r="L505" s="92" t="str">
        <f>IFERROR(VLOOKUP(D505,'Công T5'!$C$7:$F$89,2,0),"")</f>
        <v/>
      </c>
      <c r="M505" s="92" t="str">
        <f>IFERROR(VLOOKUP(D505,'Công T5'!$C$7:$F$89,3,0),"")</f>
        <v/>
      </c>
      <c r="N505" s="92">
        <f t="shared" si="9"/>
        <v>0.4</v>
      </c>
      <c r="O505" s="92" t="str">
        <f t="shared" si="2"/>
        <v/>
      </c>
      <c r="P505" s="94">
        <f t="shared" si="3"/>
        <v>0</v>
      </c>
      <c r="Q505" s="94" t="str">
        <f t="shared" si="4"/>
        <v/>
      </c>
      <c r="R505" s="95">
        <f t="shared" si="5"/>
        <v>0.5</v>
      </c>
      <c r="S505" s="95" t="str">
        <f t="shared" si="6"/>
        <v/>
      </c>
      <c r="T505" s="95">
        <f t="shared" si="7"/>
        <v>1</v>
      </c>
    </row>
    <row r="506">
      <c r="A506" s="96">
        <v>4.0</v>
      </c>
      <c r="B506" s="97">
        <v>44685.0</v>
      </c>
      <c r="C506" s="96">
        <v>10023.0</v>
      </c>
      <c r="D506" s="98" t="s">
        <v>97</v>
      </c>
      <c r="E506" s="98" t="s">
        <v>159</v>
      </c>
      <c r="F506" s="99">
        <v>0.3819444444444444</v>
      </c>
      <c r="G506" s="99">
        <v>0.7118055555555556</v>
      </c>
      <c r="H506" s="101"/>
      <c r="I506" s="92" t="str">
        <f>IFERROR(VLOOKUP(D506,'Công T5'!$C$7:$F$89,4,0),"")</f>
        <v>NL</v>
      </c>
      <c r="J506" s="92">
        <f t="shared" si="8"/>
        <v>0.3819444444</v>
      </c>
      <c r="K506" s="92">
        <f t="shared" si="1"/>
        <v>0.7118055556</v>
      </c>
      <c r="L506" s="92" t="str">
        <f>IFERROR(VLOOKUP(D506,'Công T5'!$C$7:$F$89,2,0),"")</f>
        <v/>
      </c>
      <c r="M506" s="92" t="str">
        <f>IFERROR(VLOOKUP(D506,'Công T5'!$C$7:$F$89,3,0),"")</f>
        <v/>
      </c>
      <c r="N506" s="92">
        <f t="shared" si="9"/>
        <v>0.3819444444</v>
      </c>
      <c r="O506" s="92">
        <f t="shared" si="2"/>
        <v>0.7083333333</v>
      </c>
      <c r="P506" s="94">
        <f t="shared" si="3"/>
        <v>0.3541666667</v>
      </c>
      <c r="Q506" s="94">
        <f t="shared" si="4"/>
        <v>0.5</v>
      </c>
      <c r="R506" s="95">
        <f t="shared" si="5"/>
        <v>0.8541666667</v>
      </c>
      <c r="S506" s="95">
        <f t="shared" si="6"/>
        <v>0</v>
      </c>
      <c r="T506" s="95">
        <f t="shared" si="7"/>
        <v>0</v>
      </c>
    </row>
    <row r="507">
      <c r="A507" s="96">
        <v>5.0</v>
      </c>
      <c r="B507" s="97">
        <v>44687.0</v>
      </c>
      <c r="C507" s="96">
        <v>10023.0</v>
      </c>
      <c r="D507" s="98" t="s">
        <v>97</v>
      </c>
      <c r="E507" s="98" t="s">
        <v>159</v>
      </c>
      <c r="F507" s="99">
        <v>0.41180555555555554</v>
      </c>
      <c r="G507" s="102"/>
      <c r="H507" s="101"/>
      <c r="I507" s="92" t="str">
        <f>IFERROR(VLOOKUP(D507,'Công T5'!$C$7:$F$89,4,0),"")</f>
        <v>NL</v>
      </c>
      <c r="J507" s="92">
        <f t="shared" si="8"/>
        <v>0.4118055556</v>
      </c>
      <c r="K507" s="92" t="str">
        <f t="shared" si="1"/>
        <v/>
      </c>
      <c r="L507" s="92" t="str">
        <f>IFERROR(VLOOKUP(D507,'Công T5'!$C$7:$F$89,2,0),"")</f>
        <v/>
      </c>
      <c r="M507" s="92" t="str">
        <f>IFERROR(VLOOKUP(D507,'Công T5'!$C$7:$F$89,3,0),"")</f>
        <v/>
      </c>
      <c r="N507" s="92">
        <f t="shared" si="9"/>
        <v>0.4118055556</v>
      </c>
      <c r="O507" s="92" t="str">
        <f t="shared" si="2"/>
        <v/>
      </c>
      <c r="P507" s="94">
        <f t="shared" si="3"/>
        <v>0</v>
      </c>
      <c r="Q507" s="94" t="str">
        <f t="shared" si="4"/>
        <v/>
      </c>
      <c r="R507" s="95">
        <f t="shared" si="5"/>
        <v>0.5</v>
      </c>
      <c r="S507" s="95" t="str">
        <f t="shared" si="6"/>
        <v/>
      </c>
      <c r="T507" s="95">
        <f t="shared" si="7"/>
        <v>1</v>
      </c>
    </row>
    <row r="508">
      <c r="A508" s="96">
        <v>6.0</v>
      </c>
      <c r="B508" s="97">
        <v>44691.0</v>
      </c>
      <c r="C508" s="96">
        <v>10023.0</v>
      </c>
      <c r="D508" s="98" t="s">
        <v>97</v>
      </c>
      <c r="E508" s="98" t="s">
        <v>159</v>
      </c>
      <c r="F508" s="99">
        <v>0.4215277777777778</v>
      </c>
      <c r="G508" s="99">
        <v>0.48194444444444445</v>
      </c>
      <c r="H508" s="101"/>
      <c r="I508" s="92" t="str">
        <f>IFERROR(VLOOKUP(D508,'Công T5'!$C$7:$F$89,4,0),"")</f>
        <v>NL</v>
      </c>
      <c r="J508" s="92">
        <f t="shared" si="8"/>
        <v>0.4215277778</v>
      </c>
      <c r="K508" s="92">
        <f t="shared" si="1"/>
        <v>0.63125</v>
      </c>
      <c r="L508" s="92" t="str">
        <f>IFERROR(VLOOKUP(D508,'Công T5'!$C$7:$F$89,2,0),"")</f>
        <v/>
      </c>
      <c r="M508" s="92" t="str">
        <f>IFERROR(VLOOKUP(D508,'Công T5'!$C$7:$F$89,3,0),"")</f>
        <v/>
      </c>
      <c r="N508" s="92">
        <f t="shared" si="9"/>
        <v>0.4215277778</v>
      </c>
      <c r="O508" s="92">
        <f t="shared" si="2"/>
        <v>0.63125</v>
      </c>
      <c r="P508" s="94">
        <f t="shared" si="3"/>
        <v>0.2354166667</v>
      </c>
      <c r="Q508" s="94">
        <f t="shared" si="4"/>
        <v>0.26875</v>
      </c>
      <c r="R508" s="95">
        <f t="shared" si="5"/>
        <v>0.5041666667</v>
      </c>
      <c r="S508" s="95">
        <f t="shared" si="6"/>
        <v>0</v>
      </c>
      <c r="T508" s="95">
        <f t="shared" si="7"/>
        <v>0</v>
      </c>
    </row>
    <row r="509">
      <c r="A509" s="96">
        <v>7.0</v>
      </c>
      <c r="B509" s="97">
        <v>44691.0</v>
      </c>
      <c r="C509" s="96">
        <v>10023.0</v>
      </c>
      <c r="D509" s="98" t="s">
        <v>97</v>
      </c>
      <c r="E509" s="98" t="s">
        <v>159</v>
      </c>
      <c r="F509" s="99">
        <v>0.63125</v>
      </c>
      <c r="G509" s="102"/>
      <c r="H509" s="101"/>
      <c r="I509" s="92" t="str">
        <f>IFERROR(VLOOKUP(D509,'Công T5'!$C$7:$F$89,4,0),"")</f>
        <v>NL</v>
      </c>
      <c r="J509" s="92">
        <f t="shared" si="8"/>
        <v>0.63125</v>
      </c>
      <c r="K509" s="92" t="str">
        <f t="shared" si="1"/>
        <v/>
      </c>
      <c r="L509" s="92" t="str">
        <f>IFERROR(VLOOKUP(D509,'Công T5'!$C$7:$F$89,2,0),"")</f>
        <v/>
      </c>
      <c r="M509" s="92" t="str">
        <f>IFERROR(VLOOKUP(D509,'Công T5'!$C$7:$F$89,3,0),"")</f>
        <v/>
      </c>
      <c r="N509" s="92">
        <f t="shared" si="9"/>
        <v>0.63125</v>
      </c>
      <c r="O509" s="92" t="str">
        <f t="shared" si="2"/>
        <v/>
      </c>
      <c r="P509" s="94">
        <f t="shared" si="3"/>
        <v>0</v>
      </c>
      <c r="Q509" s="94" t="str">
        <f t="shared" si="4"/>
        <v/>
      </c>
      <c r="R509" s="95">
        <f t="shared" si="5"/>
        <v>0.5</v>
      </c>
      <c r="S509" s="95" t="str">
        <f t="shared" si="6"/>
        <v/>
      </c>
      <c r="T509" s="95">
        <f t="shared" si="7"/>
        <v>1</v>
      </c>
    </row>
    <row r="510">
      <c r="A510" s="96">
        <v>8.0</v>
      </c>
      <c r="B510" s="97">
        <v>44692.0</v>
      </c>
      <c r="C510" s="96">
        <v>10023.0</v>
      </c>
      <c r="D510" s="98" t="s">
        <v>97</v>
      </c>
      <c r="E510" s="98" t="s">
        <v>159</v>
      </c>
      <c r="F510" s="99">
        <v>0.41388888888888886</v>
      </c>
      <c r="G510" s="102"/>
      <c r="H510" s="101"/>
      <c r="I510" s="92" t="str">
        <f>IFERROR(VLOOKUP(D510,'Công T5'!$C$7:$F$89,4,0),"")</f>
        <v>NL</v>
      </c>
      <c r="J510" s="92">
        <f t="shared" si="8"/>
        <v>0.4138888889</v>
      </c>
      <c r="K510" s="92" t="str">
        <f t="shared" si="1"/>
        <v/>
      </c>
      <c r="L510" s="92" t="str">
        <f>IFERROR(VLOOKUP(D510,'Công T5'!$C$7:$F$89,2,0),"")</f>
        <v/>
      </c>
      <c r="M510" s="92" t="str">
        <f>IFERROR(VLOOKUP(D510,'Công T5'!$C$7:$F$89,3,0),"")</f>
        <v/>
      </c>
      <c r="N510" s="92">
        <f t="shared" si="9"/>
        <v>0.4138888889</v>
      </c>
      <c r="O510" s="92" t="str">
        <f t="shared" si="2"/>
        <v/>
      </c>
      <c r="P510" s="94">
        <f t="shared" si="3"/>
        <v>0</v>
      </c>
      <c r="Q510" s="94" t="str">
        <f t="shared" si="4"/>
        <v/>
      </c>
      <c r="R510" s="95">
        <f t="shared" si="5"/>
        <v>0.5</v>
      </c>
      <c r="S510" s="95" t="str">
        <f t="shared" si="6"/>
        <v/>
      </c>
      <c r="T510" s="95">
        <f t="shared" si="7"/>
        <v>1</v>
      </c>
    </row>
    <row r="511">
      <c r="A511" s="96">
        <v>9.0</v>
      </c>
      <c r="B511" s="97">
        <v>44693.0</v>
      </c>
      <c r="C511" s="96">
        <v>10023.0</v>
      </c>
      <c r="D511" s="98" t="s">
        <v>97</v>
      </c>
      <c r="E511" s="98" t="s">
        <v>159</v>
      </c>
      <c r="F511" s="99">
        <v>0.3993055555555556</v>
      </c>
      <c r="G511" s="102"/>
      <c r="H511" s="101"/>
      <c r="I511" s="92" t="str">
        <f>IFERROR(VLOOKUP(D511,'Công T5'!$C$7:$F$89,4,0),"")</f>
        <v>NL</v>
      </c>
      <c r="J511" s="92">
        <f t="shared" si="8"/>
        <v>0.3993055556</v>
      </c>
      <c r="K511" s="92" t="str">
        <f t="shared" si="1"/>
        <v/>
      </c>
      <c r="L511" s="92" t="str">
        <f>IFERROR(VLOOKUP(D511,'Công T5'!$C$7:$F$89,2,0),"")</f>
        <v/>
      </c>
      <c r="M511" s="92" t="str">
        <f>IFERROR(VLOOKUP(D511,'Công T5'!$C$7:$F$89,3,0),"")</f>
        <v/>
      </c>
      <c r="N511" s="92">
        <f t="shared" si="9"/>
        <v>0.3993055556</v>
      </c>
      <c r="O511" s="92" t="str">
        <f t="shared" si="2"/>
        <v/>
      </c>
      <c r="P511" s="94">
        <f t="shared" si="3"/>
        <v>0</v>
      </c>
      <c r="Q511" s="94" t="str">
        <f t="shared" si="4"/>
        <v/>
      </c>
      <c r="R511" s="95">
        <f t="shared" si="5"/>
        <v>0.5</v>
      </c>
      <c r="S511" s="95" t="str">
        <f t="shared" si="6"/>
        <v/>
      </c>
      <c r="T511" s="95">
        <f t="shared" si="7"/>
        <v>1</v>
      </c>
    </row>
    <row r="512">
      <c r="A512" s="96">
        <v>10.0</v>
      </c>
      <c r="B512" s="97">
        <v>44698.0</v>
      </c>
      <c r="C512" s="96">
        <v>10023.0</v>
      </c>
      <c r="D512" s="98" t="s">
        <v>97</v>
      </c>
      <c r="E512" s="98" t="s">
        <v>159</v>
      </c>
      <c r="F512" s="99">
        <v>0.44027777777777777</v>
      </c>
      <c r="G512" s="102"/>
      <c r="H512" s="101"/>
      <c r="I512" s="92" t="str">
        <f>IFERROR(VLOOKUP(D512,'Công T5'!$C$7:$F$89,4,0),"")</f>
        <v>NL</v>
      </c>
      <c r="J512" s="92">
        <f t="shared" si="8"/>
        <v>0.4402777778</v>
      </c>
      <c r="K512" s="92" t="str">
        <f t="shared" si="1"/>
        <v/>
      </c>
      <c r="L512" s="92" t="str">
        <f>IFERROR(VLOOKUP(D512,'Công T5'!$C$7:$F$89,2,0),"")</f>
        <v/>
      </c>
      <c r="M512" s="92" t="str">
        <f>IFERROR(VLOOKUP(D512,'Công T5'!$C$7:$F$89,3,0),"")</f>
        <v/>
      </c>
      <c r="N512" s="92">
        <f t="shared" si="9"/>
        <v>0.4402777778</v>
      </c>
      <c r="O512" s="92" t="str">
        <f t="shared" si="2"/>
        <v/>
      </c>
      <c r="P512" s="94">
        <f t="shared" si="3"/>
        <v>0</v>
      </c>
      <c r="Q512" s="94" t="str">
        <f t="shared" si="4"/>
        <v/>
      </c>
      <c r="R512" s="95">
        <f t="shared" si="5"/>
        <v>0.5</v>
      </c>
      <c r="S512" s="95" t="str">
        <f t="shared" si="6"/>
        <v/>
      </c>
      <c r="T512" s="95">
        <f t="shared" si="7"/>
        <v>1</v>
      </c>
    </row>
    <row r="513">
      <c r="A513" s="96">
        <v>11.0</v>
      </c>
      <c r="B513" s="97">
        <v>44699.0</v>
      </c>
      <c r="C513" s="96">
        <v>10023.0</v>
      </c>
      <c r="D513" s="98" t="s">
        <v>97</v>
      </c>
      <c r="E513" s="98" t="s">
        <v>159</v>
      </c>
      <c r="F513" s="99">
        <v>0.4236111111111111</v>
      </c>
      <c r="G513" s="102"/>
      <c r="H513" s="101"/>
      <c r="I513" s="92" t="str">
        <f>IFERROR(VLOOKUP(D513,'Công T5'!$C$7:$F$89,4,0),"")</f>
        <v>NL</v>
      </c>
      <c r="J513" s="92">
        <f t="shared" si="8"/>
        <v>0.4236111111</v>
      </c>
      <c r="K513" s="92" t="str">
        <f t="shared" si="1"/>
        <v/>
      </c>
      <c r="L513" s="92" t="str">
        <f>IFERROR(VLOOKUP(D513,'Công T5'!$C$7:$F$89,2,0),"")</f>
        <v/>
      </c>
      <c r="M513" s="92" t="str">
        <f>IFERROR(VLOOKUP(D513,'Công T5'!$C$7:$F$89,3,0),"")</f>
        <v/>
      </c>
      <c r="N513" s="92">
        <f t="shared" si="9"/>
        <v>0.4236111111</v>
      </c>
      <c r="O513" s="92" t="str">
        <f t="shared" si="2"/>
        <v/>
      </c>
      <c r="P513" s="94">
        <f t="shared" si="3"/>
        <v>0</v>
      </c>
      <c r="Q513" s="94" t="str">
        <f t="shared" si="4"/>
        <v/>
      </c>
      <c r="R513" s="95">
        <f t="shared" si="5"/>
        <v>0.5</v>
      </c>
      <c r="S513" s="95" t="str">
        <f t="shared" si="6"/>
        <v/>
      </c>
      <c r="T513" s="95">
        <f t="shared" si="7"/>
        <v>1</v>
      </c>
    </row>
    <row r="514">
      <c r="A514" s="96">
        <v>12.0</v>
      </c>
      <c r="B514" s="103">
        <v>44701.0</v>
      </c>
      <c r="C514" s="96">
        <v>10023.0</v>
      </c>
      <c r="D514" s="98" t="s">
        <v>97</v>
      </c>
      <c r="E514" s="98" t="s">
        <v>159</v>
      </c>
      <c r="F514" s="99">
        <v>0.39375</v>
      </c>
      <c r="G514" s="102"/>
      <c r="H514" s="101"/>
      <c r="I514" s="92" t="str">
        <f>IFERROR(VLOOKUP(D514,'Công T5'!$C$7:$F$89,4,0),"")</f>
        <v>NL</v>
      </c>
      <c r="J514" s="92">
        <f t="shared" si="8"/>
        <v>0.39375</v>
      </c>
      <c r="K514" s="92" t="str">
        <f t="shared" si="1"/>
        <v/>
      </c>
      <c r="L514" s="92" t="str">
        <f>IFERROR(VLOOKUP(D514,'Công T5'!$C$7:$F$89,2,0),"")</f>
        <v/>
      </c>
      <c r="M514" s="92" t="str">
        <f>IFERROR(VLOOKUP(D514,'Công T5'!$C$7:$F$89,3,0),"")</f>
        <v/>
      </c>
      <c r="N514" s="92">
        <f t="shared" si="9"/>
        <v>0.39375</v>
      </c>
      <c r="O514" s="92" t="str">
        <f t="shared" si="2"/>
        <v/>
      </c>
      <c r="P514" s="94">
        <f t="shared" si="3"/>
        <v>0</v>
      </c>
      <c r="Q514" s="94" t="str">
        <f t="shared" si="4"/>
        <v/>
      </c>
      <c r="R514" s="95">
        <f t="shared" si="5"/>
        <v>0.5</v>
      </c>
      <c r="S514" s="95" t="str">
        <f t="shared" si="6"/>
        <v/>
      </c>
      <c r="T514" s="95">
        <f t="shared" si="7"/>
        <v>1</v>
      </c>
    </row>
    <row r="515">
      <c r="A515" s="96">
        <v>13.0</v>
      </c>
      <c r="B515" s="97">
        <v>44704.0</v>
      </c>
      <c r="C515" s="96">
        <v>10023.0</v>
      </c>
      <c r="D515" s="98" t="s">
        <v>97</v>
      </c>
      <c r="E515" s="98" t="s">
        <v>159</v>
      </c>
      <c r="F515" s="99">
        <v>0.38472222222222224</v>
      </c>
      <c r="G515" s="102"/>
      <c r="H515" s="101"/>
      <c r="I515" s="92" t="str">
        <f>IFERROR(VLOOKUP(D515,'Công T5'!$C$7:$F$89,4,0),"")</f>
        <v>NL</v>
      </c>
      <c r="J515" s="92">
        <f t="shared" si="8"/>
        <v>0.3847222222</v>
      </c>
      <c r="K515" s="92" t="str">
        <f t="shared" si="1"/>
        <v/>
      </c>
      <c r="L515" s="92" t="str">
        <f>IFERROR(VLOOKUP(D515,'Công T5'!$C$7:$F$89,2,0),"")</f>
        <v/>
      </c>
      <c r="M515" s="92" t="str">
        <f>IFERROR(VLOOKUP(D515,'Công T5'!$C$7:$F$89,3,0),"")</f>
        <v/>
      </c>
      <c r="N515" s="92">
        <f t="shared" si="9"/>
        <v>0.3847222222</v>
      </c>
      <c r="O515" s="92" t="str">
        <f t="shared" si="2"/>
        <v/>
      </c>
      <c r="P515" s="94">
        <f t="shared" si="3"/>
        <v>0</v>
      </c>
      <c r="Q515" s="94" t="str">
        <f t="shared" si="4"/>
        <v/>
      </c>
      <c r="R515" s="95">
        <f t="shared" si="5"/>
        <v>0.5</v>
      </c>
      <c r="S515" s="95" t="str">
        <f t="shared" si="6"/>
        <v/>
      </c>
      <c r="T515" s="95">
        <f t="shared" si="7"/>
        <v>1</v>
      </c>
    </row>
    <row r="516">
      <c r="A516" s="96">
        <v>14.0</v>
      </c>
      <c r="B516" s="103">
        <v>44705.0</v>
      </c>
      <c r="C516" s="96">
        <v>10023.0</v>
      </c>
      <c r="D516" s="98" t="s">
        <v>97</v>
      </c>
      <c r="E516" s="98" t="s">
        <v>159</v>
      </c>
      <c r="F516" s="99">
        <v>0.5451388888888888</v>
      </c>
      <c r="G516" s="102"/>
      <c r="H516" s="101"/>
      <c r="I516" s="92" t="str">
        <f>IFERROR(VLOOKUP(D516,'Công T5'!$C$7:$F$89,4,0),"")</f>
        <v>NL</v>
      </c>
      <c r="J516" s="92">
        <f t="shared" si="8"/>
        <v>0.5451388889</v>
      </c>
      <c r="K516" s="92" t="str">
        <f t="shared" si="1"/>
        <v/>
      </c>
      <c r="L516" s="92" t="str">
        <f>IFERROR(VLOOKUP(D516,'Công T5'!$C$7:$F$89,2,0),"")</f>
        <v/>
      </c>
      <c r="M516" s="92" t="str">
        <f>IFERROR(VLOOKUP(D516,'Công T5'!$C$7:$F$89,3,0),"")</f>
        <v/>
      </c>
      <c r="N516" s="92">
        <f t="shared" si="9"/>
        <v>0.5451388889</v>
      </c>
      <c r="O516" s="92" t="str">
        <f t="shared" si="2"/>
        <v/>
      </c>
      <c r="P516" s="94">
        <f t="shared" si="3"/>
        <v>0</v>
      </c>
      <c r="Q516" s="94" t="str">
        <f t="shared" si="4"/>
        <v/>
      </c>
      <c r="R516" s="95">
        <f t="shared" si="5"/>
        <v>0.5</v>
      </c>
      <c r="S516" s="95" t="str">
        <f t="shared" si="6"/>
        <v/>
      </c>
      <c r="T516" s="95">
        <f t="shared" si="7"/>
        <v>1</v>
      </c>
    </row>
    <row r="517">
      <c r="A517" s="96">
        <v>15.0</v>
      </c>
      <c r="B517" s="97">
        <v>44706.0</v>
      </c>
      <c r="C517" s="96">
        <v>10023.0</v>
      </c>
      <c r="D517" s="98" t="s">
        <v>97</v>
      </c>
      <c r="E517" s="98" t="s">
        <v>159</v>
      </c>
      <c r="F517" s="99">
        <v>0.4756944444444444</v>
      </c>
      <c r="G517" s="99">
        <v>0.7236111111111111</v>
      </c>
      <c r="H517" s="101"/>
      <c r="I517" s="92" t="str">
        <f>IFERROR(VLOOKUP(D517,'Công T5'!$C$7:$F$89,4,0),"")</f>
        <v>NL</v>
      </c>
      <c r="J517" s="92">
        <f t="shared" si="8"/>
        <v>0.4756944444</v>
      </c>
      <c r="K517" s="92">
        <f t="shared" si="1"/>
        <v>0.7236111111</v>
      </c>
      <c r="L517" s="92" t="str">
        <f>IFERROR(VLOOKUP(D517,'Công T5'!$C$7:$F$89,2,0),"")</f>
        <v/>
      </c>
      <c r="M517" s="92" t="str">
        <f>IFERROR(VLOOKUP(D517,'Công T5'!$C$7:$F$89,3,0),"")</f>
        <v/>
      </c>
      <c r="N517" s="92">
        <f t="shared" si="9"/>
        <v>0.4756944444</v>
      </c>
      <c r="O517" s="92">
        <f t="shared" si="2"/>
        <v>0.7083333333</v>
      </c>
      <c r="P517" s="94">
        <f t="shared" si="3"/>
        <v>0.07291666667</v>
      </c>
      <c r="Q517" s="94">
        <f t="shared" si="4"/>
        <v>0.5</v>
      </c>
      <c r="R517" s="95">
        <f t="shared" si="5"/>
        <v>0.5729166667</v>
      </c>
      <c r="S517" s="95">
        <f t="shared" si="6"/>
        <v>0</v>
      </c>
      <c r="T517" s="95">
        <f t="shared" si="7"/>
        <v>0</v>
      </c>
    </row>
    <row r="518">
      <c r="A518" s="96">
        <v>16.0</v>
      </c>
      <c r="B518" s="97">
        <v>44677.0</v>
      </c>
      <c r="C518" s="96">
        <v>10037.0</v>
      </c>
      <c r="D518" s="98" t="s">
        <v>96</v>
      </c>
      <c r="E518" s="98" t="s">
        <v>159</v>
      </c>
      <c r="F518" s="99">
        <v>0.375</v>
      </c>
      <c r="G518" s="99">
        <v>0.7215277777777778</v>
      </c>
      <c r="H518" s="101"/>
      <c r="I518" s="92" t="str">
        <f>IFERROR(VLOOKUP(D518,'Công T5'!$C$7:$F$89,4,0),"")</f>
        <v>NL</v>
      </c>
      <c r="J518" s="92">
        <f t="shared" si="8"/>
        <v>0.375</v>
      </c>
      <c r="K518" s="92">
        <f t="shared" si="1"/>
        <v>0.7215277778</v>
      </c>
      <c r="L518" s="92" t="str">
        <f>IFERROR(VLOOKUP(D518,'Công T5'!$C$7:$F$89,2,0),"")</f>
        <v/>
      </c>
      <c r="M518" s="92" t="str">
        <f>IFERROR(VLOOKUP(D518,'Công T5'!$C$7:$F$89,3,0),"")</f>
        <v/>
      </c>
      <c r="N518" s="92">
        <f t="shared" si="9"/>
        <v>0.375</v>
      </c>
      <c r="O518" s="92">
        <f t="shared" si="2"/>
        <v>0.7083333333</v>
      </c>
      <c r="P518" s="94">
        <f t="shared" si="3"/>
        <v>0.375</v>
      </c>
      <c r="Q518" s="94">
        <f t="shared" si="4"/>
        <v>0.5</v>
      </c>
      <c r="R518" s="95">
        <f t="shared" si="5"/>
        <v>0.875</v>
      </c>
      <c r="S518" s="95">
        <f t="shared" si="6"/>
        <v>0</v>
      </c>
      <c r="T518" s="95">
        <f t="shared" si="7"/>
        <v>0</v>
      </c>
    </row>
    <row r="519">
      <c r="A519" s="96">
        <v>17.0</v>
      </c>
      <c r="B519" s="97">
        <v>44678.0</v>
      </c>
      <c r="C519" s="96">
        <v>10037.0</v>
      </c>
      <c r="D519" s="98" t="s">
        <v>96</v>
      </c>
      <c r="E519" s="98" t="s">
        <v>159</v>
      </c>
      <c r="F519" s="99">
        <v>0.38958333333333334</v>
      </c>
      <c r="G519" s="99">
        <v>0.7319444444444444</v>
      </c>
      <c r="H519" s="101"/>
      <c r="I519" s="92" t="str">
        <f>IFERROR(VLOOKUP(D519,'Công T5'!$C$7:$F$89,4,0),"")</f>
        <v>NL</v>
      </c>
      <c r="J519" s="92">
        <f t="shared" si="8"/>
        <v>0.3895833333</v>
      </c>
      <c r="K519" s="92">
        <f t="shared" si="1"/>
        <v>0.7319444444</v>
      </c>
      <c r="L519" s="92" t="str">
        <f>IFERROR(VLOOKUP(D519,'Công T5'!$C$7:$F$89,2,0),"")</f>
        <v/>
      </c>
      <c r="M519" s="92" t="str">
        <f>IFERROR(VLOOKUP(D519,'Công T5'!$C$7:$F$89,3,0),"")</f>
        <v/>
      </c>
      <c r="N519" s="92">
        <f t="shared" si="9"/>
        <v>0.3895833333</v>
      </c>
      <c r="O519" s="92">
        <f t="shared" si="2"/>
        <v>0.7083333333</v>
      </c>
      <c r="P519" s="94">
        <f t="shared" si="3"/>
        <v>0.33125</v>
      </c>
      <c r="Q519" s="94">
        <f t="shared" si="4"/>
        <v>0.5</v>
      </c>
      <c r="R519" s="95">
        <f t="shared" si="5"/>
        <v>0.83125</v>
      </c>
      <c r="S519" s="95">
        <f t="shared" si="6"/>
        <v>0</v>
      </c>
      <c r="T519" s="95">
        <f t="shared" si="7"/>
        <v>0</v>
      </c>
    </row>
    <row r="520">
      <c r="A520" s="96">
        <v>18.0</v>
      </c>
      <c r="B520" s="97">
        <v>44679.0</v>
      </c>
      <c r="C520" s="96">
        <v>10037.0</v>
      </c>
      <c r="D520" s="98" t="s">
        <v>96</v>
      </c>
      <c r="E520" s="98" t="s">
        <v>159</v>
      </c>
      <c r="F520" s="99">
        <v>0.36736111111111114</v>
      </c>
      <c r="G520" s="99">
        <v>0.7222222222222222</v>
      </c>
      <c r="H520" s="101"/>
      <c r="I520" s="92" t="str">
        <f>IFERROR(VLOOKUP(D520,'Công T5'!$C$7:$F$89,4,0),"")</f>
        <v>NL</v>
      </c>
      <c r="J520" s="92">
        <f t="shared" si="8"/>
        <v>0.3673611111</v>
      </c>
      <c r="K520" s="92">
        <f t="shared" si="1"/>
        <v>0.7222222222</v>
      </c>
      <c r="L520" s="92" t="str">
        <f>IFERROR(VLOOKUP(D520,'Công T5'!$C$7:$F$89,2,0),"")</f>
        <v/>
      </c>
      <c r="M520" s="92" t="str">
        <f>IFERROR(VLOOKUP(D520,'Công T5'!$C$7:$F$89,3,0),"")</f>
        <v/>
      </c>
      <c r="N520" s="92">
        <f t="shared" si="9"/>
        <v>0.3673611111</v>
      </c>
      <c r="O520" s="92">
        <f t="shared" si="2"/>
        <v>0.7083333333</v>
      </c>
      <c r="P520" s="94">
        <f t="shared" si="3"/>
        <v>0.3979166667</v>
      </c>
      <c r="Q520" s="94">
        <f t="shared" si="4"/>
        <v>0.5</v>
      </c>
      <c r="R520" s="95">
        <f t="shared" si="5"/>
        <v>0.8979166667</v>
      </c>
      <c r="S520" s="95">
        <f t="shared" si="6"/>
        <v>0</v>
      </c>
      <c r="T520" s="95">
        <f t="shared" si="7"/>
        <v>0</v>
      </c>
    </row>
    <row r="521">
      <c r="A521" s="96">
        <v>19.0</v>
      </c>
      <c r="B521" s="103">
        <v>44680.0</v>
      </c>
      <c r="C521" s="96">
        <v>10037.0</v>
      </c>
      <c r="D521" s="98" t="s">
        <v>96</v>
      </c>
      <c r="E521" s="98" t="s">
        <v>159</v>
      </c>
      <c r="F521" s="99">
        <v>0.4409722222222222</v>
      </c>
      <c r="G521" s="99">
        <v>0.6368055555555555</v>
      </c>
      <c r="H521" s="101"/>
      <c r="I521" s="92" t="str">
        <f>IFERROR(VLOOKUP(D521,'Công T5'!$C$7:$F$89,4,0),"")</f>
        <v>NL</v>
      </c>
      <c r="J521" s="92">
        <f t="shared" si="8"/>
        <v>0.4409722222</v>
      </c>
      <c r="K521" s="92">
        <f t="shared" si="1"/>
        <v>0.6368055556</v>
      </c>
      <c r="L521" s="92" t="str">
        <f>IFERROR(VLOOKUP(D521,'Công T5'!$C$7:$F$89,2,0),"")</f>
        <v/>
      </c>
      <c r="M521" s="92" t="str">
        <f>IFERROR(VLOOKUP(D521,'Công T5'!$C$7:$F$89,3,0),"")</f>
        <v/>
      </c>
      <c r="N521" s="92">
        <f t="shared" si="9"/>
        <v>0.4409722222</v>
      </c>
      <c r="O521" s="92">
        <f t="shared" si="2"/>
        <v>0.6368055556</v>
      </c>
      <c r="P521" s="94">
        <f t="shared" si="3"/>
        <v>0.1770833333</v>
      </c>
      <c r="Q521" s="94">
        <f t="shared" si="4"/>
        <v>0.2854166667</v>
      </c>
      <c r="R521" s="95">
        <f t="shared" si="5"/>
        <v>0.4625</v>
      </c>
      <c r="S521" s="95">
        <f t="shared" si="6"/>
        <v>0</v>
      </c>
      <c r="T521" s="95">
        <f t="shared" si="7"/>
        <v>0</v>
      </c>
    </row>
    <row r="522">
      <c r="A522" s="96">
        <v>20.0</v>
      </c>
      <c r="B522" s="97">
        <v>44686.0</v>
      </c>
      <c r="C522" s="96">
        <v>10037.0</v>
      </c>
      <c r="D522" s="98" t="s">
        <v>96</v>
      </c>
      <c r="E522" s="98" t="s">
        <v>159</v>
      </c>
      <c r="F522" s="99">
        <v>0.4361111111111111</v>
      </c>
      <c r="G522" s="99">
        <v>0.7118055555555556</v>
      </c>
      <c r="H522" s="101"/>
      <c r="I522" s="92" t="str">
        <f>IFERROR(VLOOKUP(D522,'Công T5'!$C$7:$F$89,4,0),"")</f>
        <v>NL</v>
      </c>
      <c r="J522" s="92">
        <f t="shared" si="8"/>
        <v>0.4361111111</v>
      </c>
      <c r="K522" s="92">
        <f t="shared" si="1"/>
        <v>0.7118055556</v>
      </c>
      <c r="L522" s="92" t="str">
        <f>IFERROR(VLOOKUP(D522,'Công T5'!$C$7:$F$89,2,0),"")</f>
        <v/>
      </c>
      <c r="M522" s="92" t="str">
        <f>IFERROR(VLOOKUP(D522,'Công T5'!$C$7:$F$89,3,0),"")</f>
        <v/>
      </c>
      <c r="N522" s="92">
        <f t="shared" si="9"/>
        <v>0.4361111111</v>
      </c>
      <c r="O522" s="92">
        <f t="shared" si="2"/>
        <v>0.7083333333</v>
      </c>
      <c r="P522" s="94">
        <f t="shared" si="3"/>
        <v>0.1916666667</v>
      </c>
      <c r="Q522" s="94">
        <f t="shared" si="4"/>
        <v>0.5</v>
      </c>
      <c r="R522" s="95">
        <f t="shared" si="5"/>
        <v>0.6916666667</v>
      </c>
      <c r="S522" s="95">
        <f t="shared" si="6"/>
        <v>0</v>
      </c>
      <c r="T522" s="95">
        <f t="shared" si="7"/>
        <v>0</v>
      </c>
    </row>
    <row r="523">
      <c r="A523" s="96">
        <v>21.0</v>
      </c>
      <c r="B523" s="97">
        <v>44687.0</v>
      </c>
      <c r="C523" s="96">
        <v>10037.0</v>
      </c>
      <c r="D523" s="98" t="s">
        <v>96</v>
      </c>
      <c r="E523" s="98" t="s">
        <v>159</v>
      </c>
      <c r="F523" s="99">
        <v>0.4083333333333333</v>
      </c>
      <c r="G523" s="99">
        <v>0.7125</v>
      </c>
      <c r="H523" s="101"/>
      <c r="I523" s="92" t="str">
        <f>IFERROR(VLOOKUP(D523,'Công T5'!$C$7:$F$89,4,0),"")</f>
        <v>NL</v>
      </c>
      <c r="J523" s="92">
        <f t="shared" si="8"/>
        <v>0.4083333333</v>
      </c>
      <c r="K523" s="92">
        <f t="shared" si="1"/>
        <v>0.7125</v>
      </c>
      <c r="L523" s="92" t="str">
        <f>IFERROR(VLOOKUP(D523,'Công T5'!$C$7:$F$89,2,0),"")</f>
        <v/>
      </c>
      <c r="M523" s="92" t="str">
        <f>IFERROR(VLOOKUP(D523,'Công T5'!$C$7:$F$89,3,0),"")</f>
        <v/>
      </c>
      <c r="N523" s="92">
        <f t="shared" si="9"/>
        <v>0.4083333333</v>
      </c>
      <c r="O523" s="92">
        <f t="shared" si="2"/>
        <v>0.7083333333</v>
      </c>
      <c r="P523" s="94">
        <f t="shared" si="3"/>
        <v>0.275</v>
      </c>
      <c r="Q523" s="94">
        <f t="shared" si="4"/>
        <v>0.5</v>
      </c>
      <c r="R523" s="95">
        <f t="shared" si="5"/>
        <v>0.775</v>
      </c>
      <c r="S523" s="95">
        <f t="shared" si="6"/>
        <v>0</v>
      </c>
      <c r="T523" s="95">
        <f t="shared" si="7"/>
        <v>0</v>
      </c>
    </row>
    <row r="524">
      <c r="A524" s="96">
        <v>22.0</v>
      </c>
      <c r="B524" s="97">
        <v>44690.0</v>
      </c>
      <c r="C524" s="96">
        <v>10037.0</v>
      </c>
      <c r="D524" s="98" t="s">
        <v>96</v>
      </c>
      <c r="E524" s="98" t="s">
        <v>159</v>
      </c>
      <c r="F524" s="99">
        <v>0.37083333333333335</v>
      </c>
      <c r="G524" s="102"/>
      <c r="H524" s="101"/>
      <c r="I524" s="92" t="str">
        <f>IFERROR(VLOOKUP(D524,'Công T5'!$C$7:$F$89,4,0),"")</f>
        <v>NL</v>
      </c>
      <c r="J524" s="92">
        <f t="shared" si="8"/>
        <v>0.3708333333</v>
      </c>
      <c r="K524" s="92" t="str">
        <f t="shared" si="1"/>
        <v/>
      </c>
      <c r="L524" s="92" t="str">
        <f>IFERROR(VLOOKUP(D524,'Công T5'!$C$7:$F$89,2,0),"")</f>
        <v/>
      </c>
      <c r="M524" s="92" t="str">
        <f>IFERROR(VLOOKUP(D524,'Công T5'!$C$7:$F$89,3,0),"")</f>
        <v/>
      </c>
      <c r="N524" s="92">
        <f t="shared" si="9"/>
        <v>0.3708333333</v>
      </c>
      <c r="O524" s="92" t="str">
        <f t="shared" si="2"/>
        <v/>
      </c>
      <c r="P524" s="94">
        <f t="shared" si="3"/>
        <v>0</v>
      </c>
      <c r="Q524" s="94" t="str">
        <f t="shared" si="4"/>
        <v/>
      </c>
      <c r="R524" s="95">
        <f t="shared" si="5"/>
        <v>0.5</v>
      </c>
      <c r="S524" s="95" t="str">
        <f t="shared" si="6"/>
        <v/>
      </c>
      <c r="T524" s="95">
        <f t="shared" si="7"/>
        <v>1</v>
      </c>
    </row>
    <row r="525">
      <c r="A525" s="96">
        <v>23.0</v>
      </c>
      <c r="B525" s="103">
        <v>44691.0</v>
      </c>
      <c r="C525" s="96">
        <v>10037.0</v>
      </c>
      <c r="D525" s="98" t="s">
        <v>96</v>
      </c>
      <c r="E525" s="98" t="s">
        <v>159</v>
      </c>
      <c r="F525" s="99">
        <v>0.39166666666666666</v>
      </c>
      <c r="G525" s="99">
        <v>0.7569444444444444</v>
      </c>
      <c r="H525" s="101"/>
      <c r="I525" s="92" t="str">
        <f>IFERROR(VLOOKUP(D525,'Công T5'!$C$7:$F$89,4,0),"")</f>
        <v>NL</v>
      </c>
      <c r="J525" s="92">
        <f t="shared" si="8"/>
        <v>0.3916666667</v>
      </c>
      <c r="K525" s="92">
        <f t="shared" si="1"/>
        <v>0.7569444444</v>
      </c>
      <c r="L525" s="92" t="str">
        <f>IFERROR(VLOOKUP(D525,'Công T5'!$C$7:$F$89,2,0),"")</f>
        <v/>
      </c>
      <c r="M525" s="92" t="str">
        <f>IFERROR(VLOOKUP(D525,'Công T5'!$C$7:$F$89,3,0),"")</f>
        <v/>
      </c>
      <c r="N525" s="92">
        <f t="shared" si="9"/>
        <v>0.3916666667</v>
      </c>
      <c r="O525" s="92">
        <f t="shared" si="2"/>
        <v>0.7083333333</v>
      </c>
      <c r="P525" s="94">
        <f t="shared" si="3"/>
        <v>0.325</v>
      </c>
      <c r="Q525" s="94">
        <f t="shared" si="4"/>
        <v>0.5</v>
      </c>
      <c r="R525" s="95">
        <f t="shared" si="5"/>
        <v>0.825</v>
      </c>
      <c r="S525" s="95">
        <f t="shared" si="6"/>
        <v>0</v>
      </c>
      <c r="T525" s="95">
        <f t="shared" si="7"/>
        <v>0</v>
      </c>
    </row>
    <row r="526">
      <c r="A526" s="96">
        <v>24.0</v>
      </c>
      <c r="B526" s="97">
        <v>44692.0</v>
      </c>
      <c r="C526" s="96">
        <v>10037.0</v>
      </c>
      <c r="D526" s="98" t="s">
        <v>96</v>
      </c>
      <c r="E526" s="98" t="s">
        <v>159</v>
      </c>
      <c r="F526" s="99">
        <v>0.40555555555555556</v>
      </c>
      <c r="G526" s="99">
        <v>0.7111111111111111</v>
      </c>
      <c r="H526" s="101"/>
      <c r="I526" s="92" t="str">
        <f>IFERROR(VLOOKUP(D526,'Công T5'!$C$7:$F$89,4,0),"")</f>
        <v>NL</v>
      </c>
      <c r="J526" s="92">
        <f t="shared" si="8"/>
        <v>0.4055555556</v>
      </c>
      <c r="K526" s="92">
        <f t="shared" si="1"/>
        <v>0.7111111111</v>
      </c>
      <c r="L526" s="92" t="str">
        <f>IFERROR(VLOOKUP(D526,'Công T5'!$C$7:$F$89,2,0),"")</f>
        <v/>
      </c>
      <c r="M526" s="92" t="str">
        <f>IFERROR(VLOOKUP(D526,'Công T5'!$C$7:$F$89,3,0),"")</f>
        <v/>
      </c>
      <c r="N526" s="92">
        <f t="shared" si="9"/>
        <v>0.4055555556</v>
      </c>
      <c r="O526" s="92">
        <f t="shared" si="2"/>
        <v>0.7083333333</v>
      </c>
      <c r="P526" s="94">
        <f t="shared" si="3"/>
        <v>0.2833333333</v>
      </c>
      <c r="Q526" s="94">
        <f t="shared" si="4"/>
        <v>0.5</v>
      </c>
      <c r="R526" s="95">
        <f t="shared" si="5"/>
        <v>0.7833333333</v>
      </c>
      <c r="S526" s="95">
        <f t="shared" si="6"/>
        <v>0</v>
      </c>
      <c r="T526" s="95">
        <f t="shared" si="7"/>
        <v>0</v>
      </c>
    </row>
    <row r="527">
      <c r="A527" s="96">
        <v>25.0</v>
      </c>
      <c r="B527" s="97">
        <v>44693.0</v>
      </c>
      <c r="C527" s="96">
        <v>10037.0</v>
      </c>
      <c r="D527" s="98" t="s">
        <v>96</v>
      </c>
      <c r="E527" s="98" t="s">
        <v>159</v>
      </c>
      <c r="F527" s="99">
        <v>0.3729166666666667</v>
      </c>
      <c r="G527" s="99">
        <v>0.6576388888888889</v>
      </c>
      <c r="H527" s="101"/>
      <c r="I527" s="92" t="str">
        <f>IFERROR(VLOOKUP(D527,'Công T5'!$C$7:$F$89,4,0),"")</f>
        <v>NL</v>
      </c>
      <c r="J527" s="92">
        <f t="shared" si="8"/>
        <v>0.3729166667</v>
      </c>
      <c r="K527" s="92">
        <f t="shared" si="1"/>
        <v>0.6576388889</v>
      </c>
      <c r="L527" s="92" t="str">
        <f>IFERROR(VLOOKUP(D527,'Công T5'!$C$7:$F$89,2,0),"")</f>
        <v/>
      </c>
      <c r="M527" s="92" t="str">
        <f>IFERROR(VLOOKUP(D527,'Công T5'!$C$7:$F$89,3,0),"")</f>
        <v/>
      </c>
      <c r="N527" s="92">
        <f t="shared" si="9"/>
        <v>0.3729166667</v>
      </c>
      <c r="O527" s="92">
        <f t="shared" si="2"/>
        <v>0.6576388889</v>
      </c>
      <c r="P527" s="94">
        <f t="shared" si="3"/>
        <v>0.38125</v>
      </c>
      <c r="Q527" s="94">
        <f t="shared" si="4"/>
        <v>0.3479166667</v>
      </c>
      <c r="R527" s="95">
        <f t="shared" si="5"/>
        <v>0.7291666667</v>
      </c>
      <c r="S527" s="95">
        <f t="shared" si="6"/>
        <v>0</v>
      </c>
      <c r="T527" s="95">
        <f t="shared" si="7"/>
        <v>0</v>
      </c>
    </row>
    <row r="528">
      <c r="A528" s="96">
        <v>26.0</v>
      </c>
      <c r="B528" s="97">
        <v>44697.0</v>
      </c>
      <c r="C528" s="96">
        <v>10037.0</v>
      </c>
      <c r="D528" s="98" t="s">
        <v>96</v>
      </c>
      <c r="E528" s="98" t="s">
        <v>159</v>
      </c>
      <c r="F528" s="99">
        <v>0.37569444444444444</v>
      </c>
      <c r="G528" s="99">
        <v>0.7458333333333333</v>
      </c>
      <c r="H528" s="101"/>
      <c r="I528" s="92" t="str">
        <f>IFERROR(VLOOKUP(D528,'Công T5'!$C$7:$F$89,4,0),"")</f>
        <v>NL</v>
      </c>
      <c r="J528" s="92">
        <f t="shared" si="8"/>
        <v>0.3756944444</v>
      </c>
      <c r="K528" s="92">
        <f t="shared" si="1"/>
        <v>0.7458333333</v>
      </c>
      <c r="L528" s="92" t="str">
        <f>IFERROR(VLOOKUP(D528,'Công T5'!$C$7:$F$89,2,0),"")</f>
        <v/>
      </c>
      <c r="M528" s="92" t="str">
        <f>IFERROR(VLOOKUP(D528,'Công T5'!$C$7:$F$89,3,0),"")</f>
        <v/>
      </c>
      <c r="N528" s="92">
        <f t="shared" si="9"/>
        <v>0.3756944444</v>
      </c>
      <c r="O528" s="92">
        <f t="shared" si="2"/>
        <v>0.7083333333</v>
      </c>
      <c r="P528" s="94">
        <f t="shared" si="3"/>
        <v>0.3729166667</v>
      </c>
      <c r="Q528" s="94">
        <f t="shared" si="4"/>
        <v>0.5</v>
      </c>
      <c r="R528" s="95">
        <f t="shared" si="5"/>
        <v>0.8729166667</v>
      </c>
      <c r="S528" s="95">
        <f t="shared" si="6"/>
        <v>0</v>
      </c>
      <c r="T528" s="95">
        <f t="shared" si="7"/>
        <v>0</v>
      </c>
    </row>
    <row r="529">
      <c r="A529" s="96">
        <v>27.0</v>
      </c>
      <c r="B529" s="103">
        <v>44698.0</v>
      </c>
      <c r="C529" s="96">
        <v>10037.0</v>
      </c>
      <c r="D529" s="98" t="s">
        <v>96</v>
      </c>
      <c r="E529" s="98" t="s">
        <v>159</v>
      </c>
      <c r="F529" s="99">
        <v>0.3590277777777778</v>
      </c>
      <c r="G529" s="99">
        <v>0.6826388888888889</v>
      </c>
      <c r="H529" s="101"/>
      <c r="I529" s="92" t="str">
        <f>IFERROR(VLOOKUP(D529,'Công T5'!$C$7:$F$89,4,0),"")</f>
        <v>NL</v>
      </c>
      <c r="J529" s="92">
        <f t="shared" si="8"/>
        <v>0.3590277778</v>
      </c>
      <c r="K529" s="92">
        <f t="shared" si="1"/>
        <v>0.6826388889</v>
      </c>
      <c r="L529" s="92" t="str">
        <f>IFERROR(VLOOKUP(D529,'Công T5'!$C$7:$F$89,2,0),"")</f>
        <v/>
      </c>
      <c r="M529" s="92" t="str">
        <f>IFERROR(VLOOKUP(D529,'Công T5'!$C$7:$F$89,3,0),"")</f>
        <v/>
      </c>
      <c r="N529" s="92">
        <f t="shared" si="9"/>
        <v>0.3590277778</v>
      </c>
      <c r="O529" s="92">
        <f t="shared" si="2"/>
        <v>0.6826388889</v>
      </c>
      <c r="P529" s="94">
        <f t="shared" si="3"/>
        <v>0.4229166667</v>
      </c>
      <c r="Q529" s="94">
        <f t="shared" si="4"/>
        <v>0.4229166667</v>
      </c>
      <c r="R529" s="95">
        <f t="shared" si="5"/>
        <v>0.8458333333</v>
      </c>
      <c r="S529" s="95">
        <f t="shared" si="6"/>
        <v>0</v>
      </c>
      <c r="T529" s="95">
        <f t="shared" si="7"/>
        <v>0</v>
      </c>
    </row>
    <row r="530">
      <c r="A530" s="96">
        <v>28.0</v>
      </c>
      <c r="B530" s="97">
        <v>44701.0</v>
      </c>
      <c r="C530" s="96">
        <v>10037.0</v>
      </c>
      <c r="D530" s="98" t="s">
        <v>96</v>
      </c>
      <c r="E530" s="98" t="s">
        <v>159</v>
      </c>
      <c r="F530" s="99">
        <v>0.41458333333333336</v>
      </c>
      <c r="G530" s="99">
        <v>0.7097222222222223</v>
      </c>
      <c r="H530" s="101"/>
      <c r="I530" s="92" t="str">
        <f>IFERROR(VLOOKUP(D530,'Công T5'!$C$7:$F$89,4,0),"")</f>
        <v>NL</v>
      </c>
      <c r="J530" s="92">
        <f t="shared" si="8"/>
        <v>0.4145833333</v>
      </c>
      <c r="K530" s="92">
        <f t="shared" si="1"/>
        <v>0.7097222222</v>
      </c>
      <c r="L530" s="92" t="str">
        <f>IFERROR(VLOOKUP(D530,'Công T5'!$C$7:$F$89,2,0),"")</f>
        <v/>
      </c>
      <c r="M530" s="92" t="str">
        <f>IFERROR(VLOOKUP(D530,'Công T5'!$C$7:$F$89,3,0),"")</f>
        <v/>
      </c>
      <c r="N530" s="92">
        <f t="shared" si="9"/>
        <v>0.4145833333</v>
      </c>
      <c r="O530" s="92">
        <f t="shared" si="2"/>
        <v>0.7083333333</v>
      </c>
      <c r="P530" s="94">
        <f t="shared" si="3"/>
        <v>0.25625</v>
      </c>
      <c r="Q530" s="94">
        <f t="shared" si="4"/>
        <v>0.5</v>
      </c>
      <c r="R530" s="95">
        <f t="shared" si="5"/>
        <v>0.75625</v>
      </c>
      <c r="S530" s="95">
        <f t="shared" si="6"/>
        <v>0</v>
      </c>
      <c r="T530" s="95">
        <f t="shared" si="7"/>
        <v>0</v>
      </c>
    </row>
    <row r="531">
      <c r="A531" s="96">
        <v>29.0</v>
      </c>
      <c r="B531" s="103">
        <v>44702.0</v>
      </c>
      <c r="C531" s="96">
        <v>10037.0</v>
      </c>
      <c r="D531" s="98" t="s">
        <v>96</v>
      </c>
      <c r="E531" s="98" t="s">
        <v>159</v>
      </c>
      <c r="F531" s="99">
        <v>0.4375</v>
      </c>
      <c r="G531" s="99">
        <v>0.5326388888888889</v>
      </c>
      <c r="H531" s="101"/>
      <c r="I531" s="92" t="str">
        <f>IFERROR(VLOOKUP(D531,'Công T5'!$C$7:$F$89,4,0),"")</f>
        <v>NL</v>
      </c>
      <c r="J531" s="92">
        <f t="shared" si="8"/>
        <v>0.4375</v>
      </c>
      <c r="K531" s="92">
        <f t="shared" si="1"/>
        <v>0.5326388889</v>
      </c>
      <c r="L531" s="92" t="str">
        <f>IFERROR(VLOOKUP(D531,'Công T5'!$C$7:$F$89,2,0),"")</f>
        <v/>
      </c>
      <c r="M531" s="92" t="str">
        <f>IFERROR(VLOOKUP(D531,'Công T5'!$C$7:$F$89,3,0),"")</f>
        <v/>
      </c>
      <c r="N531" s="92">
        <f t="shared" si="9"/>
        <v>0.4375</v>
      </c>
      <c r="O531" s="92">
        <f t="shared" si="2"/>
        <v>0.5</v>
      </c>
      <c r="P531" s="94">
        <f t="shared" si="3"/>
        <v>0.1875</v>
      </c>
      <c r="Q531" s="94">
        <f t="shared" si="4"/>
        <v>0</v>
      </c>
      <c r="R531" s="95">
        <f t="shared" si="5"/>
        <v>0.1875</v>
      </c>
      <c r="S531" s="95">
        <f t="shared" si="6"/>
        <v>0</v>
      </c>
      <c r="T531" s="95">
        <f t="shared" si="7"/>
        <v>0</v>
      </c>
    </row>
    <row r="532">
      <c r="A532" s="96">
        <v>30.0</v>
      </c>
      <c r="B532" s="97">
        <v>44704.0</v>
      </c>
      <c r="C532" s="96">
        <v>10037.0</v>
      </c>
      <c r="D532" s="98" t="s">
        <v>96</v>
      </c>
      <c r="E532" s="98" t="s">
        <v>159</v>
      </c>
      <c r="F532" s="99">
        <v>0.3729166666666667</v>
      </c>
      <c r="G532" s="99">
        <v>0.5298611111111111</v>
      </c>
      <c r="H532" s="101"/>
      <c r="I532" s="92" t="str">
        <f>IFERROR(VLOOKUP(D532,'Công T5'!$C$7:$F$89,4,0),"")</f>
        <v>NL</v>
      </c>
      <c r="J532" s="92">
        <f t="shared" si="8"/>
        <v>0.3729166667</v>
      </c>
      <c r="K532" s="92">
        <f t="shared" si="1"/>
        <v>0.7104166667</v>
      </c>
      <c r="L532" s="92" t="str">
        <f>IFERROR(VLOOKUP(D532,'Công T5'!$C$7:$F$89,2,0),"")</f>
        <v/>
      </c>
      <c r="M532" s="92" t="str">
        <f>IFERROR(VLOOKUP(D532,'Công T5'!$C$7:$F$89,3,0),"")</f>
        <v/>
      </c>
      <c r="N532" s="92">
        <f t="shared" si="9"/>
        <v>0.3729166667</v>
      </c>
      <c r="O532" s="92">
        <f t="shared" si="2"/>
        <v>0.7083333333</v>
      </c>
      <c r="P532" s="94">
        <f t="shared" si="3"/>
        <v>0.38125</v>
      </c>
      <c r="Q532" s="94">
        <f t="shared" si="4"/>
        <v>0.5</v>
      </c>
      <c r="R532" s="95">
        <f t="shared" si="5"/>
        <v>0.88125</v>
      </c>
      <c r="S532" s="95">
        <f t="shared" si="6"/>
        <v>0</v>
      </c>
      <c r="T532" s="95">
        <f t="shared" si="7"/>
        <v>0</v>
      </c>
    </row>
    <row r="533">
      <c r="A533" s="96">
        <v>31.0</v>
      </c>
      <c r="B533" s="97">
        <v>44704.0</v>
      </c>
      <c r="C533" s="96">
        <v>10037.0</v>
      </c>
      <c r="D533" s="98" t="s">
        <v>96</v>
      </c>
      <c r="E533" s="98" t="s">
        <v>159</v>
      </c>
      <c r="F533" s="99">
        <v>0.7104166666666667</v>
      </c>
      <c r="G533" s="102"/>
      <c r="H533" s="101"/>
      <c r="I533" s="92" t="str">
        <f>IFERROR(VLOOKUP(D533,'Công T5'!$C$7:$F$89,4,0),"")</f>
        <v>NL</v>
      </c>
      <c r="J533" s="92">
        <f t="shared" si="8"/>
        <v>0.7104166667</v>
      </c>
      <c r="K533" s="92" t="str">
        <f t="shared" si="1"/>
        <v/>
      </c>
      <c r="L533" s="92" t="str">
        <f>IFERROR(VLOOKUP(D533,'Công T5'!$C$7:$F$89,2,0),"")</f>
        <v/>
      </c>
      <c r="M533" s="92" t="str">
        <f>IFERROR(VLOOKUP(D533,'Công T5'!$C$7:$F$89,3,0),"")</f>
        <v/>
      </c>
      <c r="N533" s="92">
        <f t="shared" si="9"/>
        <v>0.7104166667</v>
      </c>
      <c r="O533" s="92" t="str">
        <f t="shared" si="2"/>
        <v/>
      </c>
      <c r="P533" s="94">
        <f t="shared" si="3"/>
        <v>0</v>
      </c>
      <c r="Q533" s="94" t="str">
        <f t="shared" si="4"/>
        <v/>
      </c>
      <c r="R533" s="95">
        <f t="shared" si="5"/>
        <v>0.5</v>
      </c>
      <c r="S533" s="95" t="str">
        <f t="shared" si="6"/>
        <v/>
      </c>
      <c r="T533" s="95">
        <f t="shared" si="7"/>
        <v>1</v>
      </c>
    </row>
    <row r="534">
      <c r="A534" s="96">
        <v>32.0</v>
      </c>
      <c r="B534" s="97">
        <v>44706.0</v>
      </c>
      <c r="C534" s="96">
        <v>10037.0</v>
      </c>
      <c r="D534" s="98" t="s">
        <v>96</v>
      </c>
      <c r="E534" s="98" t="s">
        <v>159</v>
      </c>
      <c r="F534" s="99">
        <v>0.4263888888888889</v>
      </c>
      <c r="G534" s="99">
        <v>0.7069444444444445</v>
      </c>
      <c r="H534" s="101"/>
      <c r="I534" s="92" t="str">
        <f>IFERROR(VLOOKUP(D534,'Công T5'!$C$7:$F$89,4,0),"")</f>
        <v>NL</v>
      </c>
      <c r="J534" s="92">
        <f t="shared" si="8"/>
        <v>0.4263888889</v>
      </c>
      <c r="K534" s="92">
        <f t="shared" si="1"/>
        <v>0.7069444444</v>
      </c>
      <c r="L534" s="92" t="str">
        <f>IFERROR(VLOOKUP(D534,'Công T5'!$C$7:$F$89,2,0),"")</f>
        <v/>
      </c>
      <c r="M534" s="92" t="str">
        <f>IFERROR(VLOOKUP(D534,'Công T5'!$C$7:$F$89,3,0),"")</f>
        <v/>
      </c>
      <c r="N534" s="92">
        <f t="shared" si="9"/>
        <v>0.4263888889</v>
      </c>
      <c r="O534" s="92">
        <f t="shared" si="2"/>
        <v>0.7069444444</v>
      </c>
      <c r="P534" s="94">
        <f t="shared" si="3"/>
        <v>0.2208333333</v>
      </c>
      <c r="Q534" s="94">
        <f t="shared" si="4"/>
        <v>0.4958333333</v>
      </c>
      <c r="R534" s="95">
        <f t="shared" si="5"/>
        <v>0.7166666667</v>
      </c>
      <c r="S534" s="95">
        <f t="shared" si="6"/>
        <v>0</v>
      </c>
      <c r="T534" s="95">
        <f t="shared" si="7"/>
        <v>0</v>
      </c>
    </row>
    <row r="535">
      <c r="A535" s="96">
        <v>33.0</v>
      </c>
      <c r="B535" s="97">
        <v>44677.0</v>
      </c>
      <c r="C535" s="96">
        <v>10218.0</v>
      </c>
      <c r="D535" s="98" t="s">
        <v>92</v>
      </c>
      <c r="E535" s="98" t="s">
        <v>159</v>
      </c>
      <c r="F535" s="99">
        <v>0.37430555555555556</v>
      </c>
      <c r="G535" s="99">
        <v>0.6895833333333333</v>
      </c>
      <c r="H535" s="101"/>
      <c r="I535" s="92" t="str">
        <f>IFERROR(VLOOKUP(D535,'Công T5'!$C$7:$F$89,4,0),"")</f>
        <v>NL</v>
      </c>
      <c r="J535" s="92">
        <f t="shared" si="8"/>
        <v>0.3743055556</v>
      </c>
      <c r="K535" s="92">
        <f t="shared" si="1"/>
        <v>0.6895833333</v>
      </c>
      <c r="L535" s="92" t="str">
        <f>IFERROR(VLOOKUP(D535,'Công T5'!$C$7:$F$89,2,0),"")</f>
        <v/>
      </c>
      <c r="M535" s="92" t="str">
        <f>IFERROR(VLOOKUP(D535,'Công T5'!$C$7:$F$89,3,0),"")</f>
        <v/>
      </c>
      <c r="N535" s="92">
        <f t="shared" si="9"/>
        <v>0.3743055556</v>
      </c>
      <c r="O535" s="92">
        <f t="shared" si="2"/>
        <v>0.6895833333</v>
      </c>
      <c r="P535" s="94">
        <f t="shared" si="3"/>
        <v>0.3770833333</v>
      </c>
      <c r="Q535" s="94">
        <f t="shared" si="4"/>
        <v>0.44375</v>
      </c>
      <c r="R535" s="95">
        <f t="shared" si="5"/>
        <v>0.8208333333</v>
      </c>
      <c r="S535" s="95">
        <f t="shared" si="6"/>
        <v>0</v>
      </c>
      <c r="T535" s="95">
        <f t="shared" si="7"/>
        <v>0</v>
      </c>
    </row>
    <row r="536">
      <c r="A536" s="96">
        <v>34.0</v>
      </c>
      <c r="B536" s="97">
        <v>44678.0</v>
      </c>
      <c r="C536" s="96">
        <v>10218.0</v>
      </c>
      <c r="D536" s="98" t="s">
        <v>92</v>
      </c>
      <c r="E536" s="98" t="s">
        <v>159</v>
      </c>
      <c r="F536" s="99">
        <v>0.38958333333333334</v>
      </c>
      <c r="G536" s="102"/>
      <c r="H536" s="101"/>
      <c r="I536" s="92" t="str">
        <f>IFERROR(VLOOKUP(D536,'Công T5'!$C$7:$F$89,4,0),"")</f>
        <v>NL</v>
      </c>
      <c r="J536" s="92">
        <f t="shared" si="8"/>
        <v>0.3895833333</v>
      </c>
      <c r="K536" s="92" t="str">
        <f t="shared" si="1"/>
        <v/>
      </c>
      <c r="L536" s="92" t="str">
        <f>IFERROR(VLOOKUP(D536,'Công T5'!$C$7:$F$89,2,0),"")</f>
        <v/>
      </c>
      <c r="M536" s="92" t="str">
        <f>IFERROR(VLOOKUP(D536,'Công T5'!$C$7:$F$89,3,0),"")</f>
        <v/>
      </c>
      <c r="N536" s="92">
        <f t="shared" si="9"/>
        <v>0.3895833333</v>
      </c>
      <c r="O536" s="92" t="str">
        <f t="shared" si="2"/>
        <v/>
      </c>
      <c r="P536" s="94">
        <f t="shared" si="3"/>
        <v>0</v>
      </c>
      <c r="Q536" s="94" t="str">
        <f t="shared" si="4"/>
        <v/>
      </c>
      <c r="R536" s="95">
        <f t="shared" si="5"/>
        <v>0.5</v>
      </c>
      <c r="S536" s="95" t="str">
        <f t="shared" si="6"/>
        <v/>
      </c>
      <c r="T536" s="95">
        <f t="shared" si="7"/>
        <v>1</v>
      </c>
    </row>
    <row r="537">
      <c r="A537" s="96">
        <v>35.0</v>
      </c>
      <c r="B537" s="97">
        <v>44686.0</v>
      </c>
      <c r="C537" s="96">
        <v>10218.0</v>
      </c>
      <c r="D537" s="98" t="s">
        <v>92</v>
      </c>
      <c r="E537" s="98" t="s">
        <v>159</v>
      </c>
      <c r="F537" s="99">
        <v>0.3590277777777778</v>
      </c>
      <c r="G537" s="102"/>
      <c r="H537" s="101"/>
      <c r="I537" s="92" t="str">
        <f>IFERROR(VLOOKUP(D537,'Công T5'!$C$7:$F$89,4,0),"")</f>
        <v>NL</v>
      </c>
      <c r="J537" s="92">
        <f t="shared" si="8"/>
        <v>0.3590277778</v>
      </c>
      <c r="K537" s="92" t="str">
        <f t="shared" si="1"/>
        <v/>
      </c>
      <c r="L537" s="92" t="str">
        <f>IFERROR(VLOOKUP(D537,'Công T5'!$C$7:$F$89,2,0),"")</f>
        <v/>
      </c>
      <c r="M537" s="92" t="str">
        <f>IFERROR(VLOOKUP(D537,'Công T5'!$C$7:$F$89,3,0),"")</f>
        <v/>
      </c>
      <c r="N537" s="92">
        <f t="shared" si="9"/>
        <v>0.3590277778</v>
      </c>
      <c r="O537" s="92" t="str">
        <f t="shared" si="2"/>
        <v/>
      </c>
      <c r="P537" s="94">
        <f t="shared" si="3"/>
        <v>0</v>
      </c>
      <c r="Q537" s="94" t="str">
        <f t="shared" si="4"/>
        <v/>
      </c>
      <c r="R537" s="95">
        <f t="shared" si="5"/>
        <v>0.5</v>
      </c>
      <c r="S537" s="95" t="str">
        <f t="shared" si="6"/>
        <v/>
      </c>
      <c r="T537" s="95">
        <f t="shared" si="7"/>
        <v>1</v>
      </c>
    </row>
    <row r="538">
      <c r="A538" s="96">
        <v>36.0</v>
      </c>
      <c r="B538" s="97">
        <v>44687.0</v>
      </c>
      <c r="C538" s="96">
        <v>10218.0</v>
      </c>
      <c r="D538" s="98" t="s">
        <v>92</v>
      </c>
      <c r="E538" s="98" t="s">
        <v>159</v>
      </c>
      <c r="F538" s="99">
        <v>0.3611111111111111</v>
      </c>
      <c r="G538" s="102"/>
      <c r="H538" s="101"/>
      <c r="I538" s="92" t="str">
        <f>IFERROR(VLOOKUP(D538,'Công T5'!$C$7:$F$89,4,0),"")</f>
        <v>NL</v>
      </c>
      <c r="J538" s="92">
        <f t="shared" si="8"/>
        <v>0.3611111111</v>
      </c>
      <c r="K538" s="92" t="str">
        <f t="shared" si="1"/>
        <v/>
      </c>
      <c r="L538" s="92" t="str">
        <f>IFERROR(VLOOKUP(D538,'Công T5'!$C$7:$F$89,2,0),"")</f>
        <v/>
      </c>
      <c r="M538" s="92" t="str">
        <f>IFERROR(VLOOKUP(D538,'Công T5'!$C$7:$F$89,3,0),"")</f>
        <v/>
      </c>
      <c r="N538" s="92">
        <f t="shared" si="9"/>
        <v>0.3611111111</v>
      </c>
      <c r="O538" s="92" t="str">
        <f t="shared" si="2"/>
        <v/>
      </c>
      <c r="P538" s="94">
        <f t="shared" si="3"/>
        <v>0</v>
      </c>
      <c r="Q538" s="94" t="str">
        <f t="shared" si="4"/>
        <v/>
      </c>
      <c r="R538" s="95">
        <f t="shared" si="5"/>
        <v>0.5</v>
      </c>
      <c r="S538" s="95" t="str">
        <f t="shared" si="6"/>
        <v/>
      </c>
      <c r="T538" s="95">
        <f t="shared" si="7"/>
        <v>1</v>
      </c>
    </row>
    <row r="539">
      <c r="A539" s="96">
        <v>37.0</v>
      </c>
      <c r="B539" s="97">
        <v>44690.0</v>
      </c>
      <c r="C539" s="96">
        <v>10218.0</v>
      </c>
      <c r="D539" s="98" t="s">
        <v>92</v>
      </c>
      <c r="E539" s="98" t="s">
        <v>159</v>
      </c>
      <c r="F539" s="99">
        <v>0.3763888888888889</v>
      </c>
      <c r="G539" s="102"/>
      <c r="H539" s="101"/>
      <c r="I539" s="92" t="str">
        <f>IFERROR(VLOOKUP(D539,'Công T5'!$C$7:$F$89,4,0),"")</f>
        <v>NL</v>
      </c>
      <c r="J539" s="92">
        <f t="shared" si="8"/>
        <v>0.3763888889</v>
      </c>
      <c r="K539" s="92" t="str">
        <f t="shared" si="1"/>
        <v/>
      </c>
      <c r="L539" s="92" t="str">
        <f>IFERROR(VLOOKUP(D539,'Công T5'!$C$7:$F$89,2,0),"")</f>
        <v/>
      </c>
      <c r="M539" s="92" t="str">
        <f>IFERROR(VLOOKUP(D539,'Công T5'!$C$7:$F$89,3,0),"")</f>
        <v/>
      </c>
      <c r="N539" s="92">
        <f t="shared" si="9"/>
        <v>0.3763888889</v>
      </c>
      <c r="O539" s="92" t="str">
        <f t="shared" si="2"/>
        <v/>
      </c>
      <c r="P539" s="94">
        <f t="shared" si="3"/>
        <v>0</v>
      </c>
      <c r="Q539" s="94" t="str">
        <f t="shared" si="4"/>
        <v/>
      </c>
      <c r="R539" s="95">
        <f t="shared" si="5"/>
        <v>0.5</v>
      </c>
      <c r="S539" s="95" t="str">
        <f t="shared" si="6"/>
        <v/>
      </c>
      <c r="T539" s="95">
        <f t="shared" si="7"/>
        <v>1</v>
      </c>
    </row>
    <row r="540">
      <c r="A540" s="96">
        <v>38.0</v>
      </c>
      <c r="B540" s="103">
        <v>44691.0</v>
      </c>
      <c r="C540" s="96">
        <v>10218.0</v>
      </c>
      <c r="D540" s="98" t="s">
        <v>92</v>
      </c>
      <c r="E540" s="98" t="s">
        <v>159</v>
      </c>
      <c r="F540" s="99">
        <v>0.3277777777777778</v>
      </c>
      <c r="G540" s="105"/>
      <c r="H540" s="101"/>
      <c r="I540" s="92" t="str">
        <f>IFERROR(VLOOKUP(D540,'Công T5'!$C$7:$F$89,4,0),"")</f>
        <v>NL</v>
      </c>
      <c r="J540" s="92">
        <f t="shared" si="8"/>
        <v>0.3277777778</v>
      </c>
      <c r="K540" s="92" t="str">
        <f t="shared" si="1"/>
        <v/>
      </c>
      <c r="L540" s="92" t="str">
        <f>IFERROR(VLOOKUP(D540,'Công T5'!$C$7:$F$89,2,0),"")</f>
        <v/>
      </c>
      <c r="M540" s="92" t="str">
        <f>IFERROR(VLOOKUP(D540,'Công T5'!$C$7:$F$89,3,0),"")</f>
        <v/>
      </c>
      <c r="N540" s="92">
        <f t="shared" si="9"/>
        <v>0.3333333333</v>
      </c>
      <c r="O540" s="92" t="str">
        <f t="shared" si="2"/>
        <v/>
      </c>
      <c r="P540" s="94">
        <f t="shared" si="3"/>
        <v>0</v>
      </c>
      <c r="Q540" s="94" t="str">
        <f t="shared" si="4"/>
        <v/>
      </c>
      <c r="R540" s="95">
        <f t="shared" si="5"/>
        <v>0.5</v>
      </c>
      <c r="S540" s="95" t="str">
        <f t="shared" si="6"/>
        <v/>
      </c>
      <c r="T540" s="95">
        <f t="shared" si="7"/>
        <v>1</v>
      </c>
    </row>
    <row r="541">
      <c r="A541" s="96">
        <v>39.0</v>
      </c>
      <c r="B541" s="97">
        <v>44692.0</v>
      </c>
      <c r="C541" s="96">
        <v>10218.0</v>
      </c>
      <c r="D541" s="98" t="s">
        <v>92</v>
      </c>
      <c r="E541" s="98" t="s">
        <v>159</v>
      </c>
      <c r="F541" s="99">
        <v>0.3576388888888889</v>
      </c>
      <c r="G541" s="102"/>
      <c r="H541" s="101"/>
      <c r="I541" s="92" t="str">
        <f>IFERROR(VLOOKUP(D541,'Công T5'!$C$7:$F$89,4,0),"")</f>
        <v>NL</v>
      </c>
      <c r="J541" s="92">
        <f t="shared" si="8"/>
        <v>0.3576388889</v>
      </c>
      <c r="K541" s="92" t="str">
        <f t="shared" si="1"/>
        <v/>
      </c>
      <c r="L541" s="92" t="str">
        <f>IFERROR(VLOOKUP(D541,'Công T5'!$C$7:$F$89,2,0),"")</f>
        <v/>
      </c>
      <c r="M541" s="92" t="str">
        <f>IFERROR(VLOOKUP(D541,'Công T5'!$C$7:$F$89,3,0),"")</f>
        <v/>
      </c>
      <c r="N541" s="92">
        <f t="shared" si="9"/>
        <v>0.3576388889</v>
      </c>
      <c r="O541" s="92" t="str">
        <f t="shared" si="2"/>
        <v/>
      </c>
      <c r="P541" s="94">
        <f t="shared" si="3"/>
        <v>0</v>
      </c>
      <c r="Q541" s="94" t="str">
        <f t="shared" si="4"/>
        <v/>
      </c>
      <c r="R541" s="95">
        <f t="shared" si="5"/>
        <v>0.5</v>
      </c>
      <c r="S541" s="95" t="str">
        <f t="shared" si="6"/>
        <v/>
      </c>
      <c r="T541" s="95">
        <f t="shared" si="7"/>
        <v>1</v>
      </c>
    </row>
    <row r="542">
      <c r="A542" s="96">
        <v>40.0</v>
      </c>
      <c r="B542" s="97">
        <v>44693.0</v>
      </c>
      <c r="C542" s="96">
        <v>10218.0</v>
      </c>
      <c r="D542" s="98" t="s">
        <v>92</v>
      </c>
      <c r="E542" s="98" t="s">
        <v>159</v>
      </c>
      <c r="F542" s="99">
        <v>0.5513888888888889</v>
      </c>
      <c r="G542" s="102"/>
      <c r="H542" s="101"/>
      <c r="I542" s="92" t="str">
        <f>IFERROR(VLOOKUP(D542,'Công T5'!$C$7:$F$89,4,0),"")</f>
        <v>NL</v>
      </c>
      <c r="J542" s="92">
        <f t="shared" si="8"/>
        <v>0.5513888889</v>
      </c>
      <c r="K542" s="92" t="str">
        <f t="shared" si="1"/>
        <v/>
      </c>
      <c r="L542" s="92" t="str">
        <f>IFERROR(VLOOKUP(D542,'Công T5'!$C$7:$F$89,2,0),"")</f>
        <v/>
      </c>
      <c r="M542" s="92" t="str">
        <f>IFERROR(VLOOKUP(D542,'Công T5'!$C$7:$F$89,3,0),"")</f>
        <v/>
      </c>
      <c r="N542" s="92">
        <f t="shared" si="9"/>
        <v>0.5513888889</v>
      </c>
      <c r="O542" s="92" t="str">
        <f t="shared" si="2"/>
        <v/>
      </c>
      <c r="P542" s="94">
        <f t="shared" si="3"/>
        <v>0</v>
      </c>
      <c r="Q542" s="94" t="str">
        <f t="shared" si="4"/>
        <v/>
      </c>
      <c r="R542" s="95">
        <f t="shared" si="5"/>
        <v>0.5</v>
      </c>
      <c r="S542" s="95" t="str">
        <f t="shared" si="6"/>
        <v/>
      </c>
      <c r="T542" s="95">
        <f t="shared" si="7"/>
        <v>1</v>
      </c>
    </row>
    <row r="543">
      <c r="A543" s="96">
        <v>41.0</v>
      </c>
      <c r="B543" s="97">
        <v>44697.0</v>
      </c>
      <c r="C543" s="96">
        <v>10218.0</v>
      </c>
      <c r="D543" s="98" t="s">
        <v>92</v>
      </c>
      <c r="E543" s="98" t="s">
        <v>159</v>
      </c>
      <c r="F543" s="99">
        <v>0.3659722222222222</v>
      </c>
      <c r="G543" s="102"/>
      <c r="H543" s="101"/>
      <c r="I543" s="92" t="str">
        <f>IFERROR(VLOOKUP(D543,'Công T5'!$C$7:$F$89,4,0),"")</f>
        <v>NL</v>
      </c>
      <c r="J543" s="92">
        <f t="shared" si="8"/>
        <v>0.3659722222</v>
      </c>
      <c r="K543" s="92" t="str">
        <f t="shared" si="1"/>
        <v/>
      </c>
      <c r="L543" s="92" t="str">
        <f>IFERROR(VLOOKUP(D543,'Công T5'!$C$7:$F$89,2,0),"")</f>
        <v/>
      </c>
      <c r="M543" s="92" t="str">
        <f>IFERROR(VLOOKUP(D543,'Công T5'!$C$7:$F$89,3,0),"")</f>
        <v/>
      </c>
      <c r="N543" s="92">
        <f t="shared" si="9"/>
        <v>0.3659722222</v>
      </c>
      <c r="O543" s="92" t="str">
        <f t="shared" si="2"/>
        <v/>
      </c>
      <c r="P543" s="94">
        <f t="shared" si="3"/>
        <v>0</v>
      </c>
      <c r="Q543" s="94" t="str">
        <f t="shared" si="4"/>
        <v/>
      </c>
      <c r="R543" s="95">
        <f t="shared" si="5"/>
        <v>0.5</v>
      </c>
      <c r="S543" s="95" t="str">
        <f t="shared" si="6"/>
        <v/>
      </c>
      <c r="T543" s="95">
        <f t="shared" si="7"/>
        <v>1</v>
      </c>
    </row>
    <row r="544">
      <c r="A544" s="96">
        <v>42.0</v>
      </c>
      <c r="B544" s="103">
        <v>44698.0</v>
      </c>
      <c r="C544" s="96">
        <v>10218.0</v>
      </c>
      <c r="D544" s="98" t="s">
        <v>92</v>
      </c>
      <c r="E544" s="98" t="s">
        <v>159</v>
      </c>
      <c r="F544" s="99">
        <v>0.45208333333333334</v>
      </c>
      <c r="G544" s="102"/>
      <c r="H544" s="101"/>
      <c r="I544" s="92" t="str">
        <f>IFERROR(VLOOKUP(D544,'Công T5'!$C$7:$F$89,4,0),"")</f>
        <v>NL</v>
      </c>
      <c r="J544" s="92">
        <f t="shared" si="8"/>
        <v>0.4520833333</v>
      </c>
      <c r="K544" s="92" t="str">
        <f t="shared" si="1"/>
        <v/>
      </c>
      <c r="L544" s="92" t="str">
        <f>IFERROR(VLOOKUP(D544,'Công T5'!$C$7:$F$89,2,0),"")</f>
        <v/>
      </c>
      <c r="M544" s="92" t="str">
        <f>IFERROR(VLOOKUP(D544,'Công T5'!$C$7:$F$89,3,0),"")</f>
        <v/>
      </c>
      <c r="N544" s="92">
        <f t="shared" si="9"/>
        <v>0.4520833333</v>
      </c>
      <c r="O544" s="92" t="str">
        <f t="shared" si="2"/>
        <v/>
      </c>
      <c r="P544" s="94">
        <f t="shared" si="3"/>
        <v>0</v>
      </c>
      <c r="Q544" s="94" t="str">
        <f t="shared" si="4"/>
        <v/>
      </c>
      <c r="R544" s="95">
        <f t="shared" si="5"/>
        <v>0.5</v>
      </c>
      <c r="S544" s="95" t="str">
        <f t="shared" si="6"/>
        <v/>
      </c>
      <c r="T544" s="95">
        <f t="shared" si="7"/>
        <v>1</v>
      </c>
    </row>
    <row r="545">
      <c r="A545" s="96">
        <v>43.0</v>
      </c>
      <c r="B545" s="97">
        <v>44699.0</v>
      </c>
      <c r="C545" s="96">
        <v>10218.0</v>
      </c>
      <c r="D545" s="98" t="s">
        <v>92</v>
      </c>
      <c r="E545" s="98" t="s">
        <v>159</v>
      </c>
      <c r="F545" s="99">
        <v>0.38680555555555557</v>
      </c>
      <c r="G545" s="102"/>
      <c r="H545" s="101"/>
      <c r="I545" s="92" t="str">
        <f>IFERROR(VLOOKUP(D545,'Công T5'!$C$7:$F$89,4,0),"")</f>
        <v>NL</v>
      </c>
      <c r="J545" s="92">
        <f t="shared" si="8"/>
        <v>0.3868055556</v>
      </c>
      <c r="K545" s="92" t="str">
        <f t="shared" si="1"/>
        <v/>
      </c>
      <c r="L545" s="92" t="str">
        <f>IFERROR(VLOOKUP(D545,'Công T5'!$C$7:$F$89,2,0),"")</f>
        <v/>
      </c>
      <c r="M545" s="92" t="str">
        <f>IFERROR(VLOOKUP(D545,'Công T5'!$C$7:$F$89,3,0),"")</f>
        <v/>
      </c>
      <c r="N545" s="92">
        <f t="shared" si="9"/>
        <v>0.3868055556</v>
      </c>
      <c r="O545" s="92" t="str">
        <f t="shared" si="2"/>
        <v/>
      </c>
      <c r="P545" s="94">
        <f t="shared" si="3"/>
        <v>0</v>
      </c>
      <c r="Q545" s="94" t="str">
        <f t="shared" si="4"/>
        <v/>
      </c>
      <c r="R545" s="95">
        <f t="shared" si="5"/>
        <v>0.5</v>
      </c>
      <c r="S545" s="95" t="str">
        <f t="shared" si="6"/>
        <v/>
      </c>
      <c r="T545" s="95">
        <f t="shared" si="7"/>
        <v>1</v>
      </c>
    </row>
    <row r="546">
      <c r="A546" s="96">
        <v>44.0</v>
      </c>
      <c r="B546" s="97">
        <v>44700.0</v>
      </c>
      <c r="C546" s="96">
        <v>10218.0</v>
      </c>
      <c r="D546" s="98" t="s">
        <v>92</v>
      </c>
      <c r="E546" s="98" t="s">
        <v>159</v>
      </c>
      <c r="F546" s="99">
        <v>0.375</v>
      </c>
      <c r="G546" s="102"/>
      <c r="H546" s="101"/>
      <c r="I546" s="92" t="str">
        <f>IFERROR(VLOOKUP(D546,'Công T5'!$C$7:$F$89,4,0),"")</f>
        <v>NL</v>
      </c>
      <c r="J546" s="92">
        <f t="shared" si="8"/>
        <v>0.375</v>
      </c>
      <c r="K546" s="92" t="str">
        <f t="shared" si="1"/>
        <v/>
      </c>
      <c r="L546" s="92" t="str">
        <f>IFERROR(VLOOKUP(D546,'Công T5'!$C$7:$F$89,2,0),"")</f>
        <v/>
      </c>
      <c r="M546" s="92" t="str">
        <f>IFERROR(VLOOKUP(D546,'Công T5'!$C$7:$F$89,3,0),"")</f>
        <v/>
      </c>
      <c r="N546" s="92">
        <f t="shared" si="9"/>
        <v>0.375</v>
      </c>
      <c r="O546" s="92" t="str">
        <f t="shared" si="2"/>
        <v/>
      </c>
      <c r="P546" s="94">
        <f t="shared" si="3"/>
        <v>0</v>
      </c>
      <c r="Q546" s="94" t="str">
        <f t="shared" si="4"/>
        <v/>
      </c>
      <c r="R546" s="95">
        <f t="shared" si="5"/>
        <v>0.5</v>
      </c>
      <c r="S546" s="95" t="str">
        <f t="shared" si="6"/>
        <v/>
      </c>
      <c r="T546" s="95">
        <f t="shared" si="7"/>
        <v>1</v>
      </c>
    </row>
    <row r="547">
      <c r="A547" s="96">
        <v>45.0</v>
      </c>
      <c r="B547" s="97">
        <v>44705.0</v>
      </c>
      <c r="C547" s="96">
        <v>10218.0</v>
      </c>
      <c r="D547" s="98" t="s">
        <v>92</v>
      </c>
      <c r="E547" s="98" t="s">
        <v>159</v>
      </c>
      <c r="F547" s="99">
        <v>0.4</v>
      </c>
      <c r="G547" s="102"/>
      <c r="H547" s="101"/>
      <c r="I547" s="92" t="str">
        <f>IFERROR(VLOOKUP(D547,'Công T5'!$C$7:$F$89,4,0),"")</f>
        <v>NL</v>
      </c>
      <c r="J547" s="92">
        <f t="shared" si="8"/>
        <v>0.4</v>
      </c>
      <c r="K547" s="92" t="str">
        <f t="shared" si="1"/>
        <v/>
      </c>
      <c r="L547" s="92" t="str">
        <f>IFERROR(VLOOKUP(D547,'Công T5'!$C$7:$F$89,2,0),"")</f>
        <v/>
      </c>
      <c r="M547" s="92" t="str">
        <f>IFERROR(VLOOKUP(D547,'Công T5'!$C$7:$F$89,3,0),"")</f>
        <v/>
      </c>
      <c r="N547" s="92">
        <f t="shared" si="9"/>
        <v>0.4</v>
      </c>
      <c r="O547" s="92" t="str">
        <f t="shared" si="2"/>
        <v/>
      </c>
      <c r="P547" s="94">
        <f t="shared" si="3"/>
        <v>0</v>
      </c>
      <c r="Q547" s="94" t="str">
        <f t="shared" si="4"/>
        <v/>
      </c>
      <c r="R547" s="95">
        <f t="shared" si="5"/>
        <v>0.5</v>
      </c>
      <c r="S547" s="95" t="str">
        <f t="shared" si="6"/>
        <v/>
      </c>
      <c r="T547" s="95">
        <f t="shared" si="7"/>
        <v>1</v>
      </c>
    </row>
    <row r="548">
      <c r="A548" s="96">
        <v>46.0</v>
      </c>
      <c r="B548" s="103">
        <v>44706.0</v>
      </c>
      <c r="C548" s="96">
        <v>10218.0</v>
      </c>
      <c r="D548" s="98" t="s">
        <v>92</v>
      </c>
      <c r="E548" s="98" t="s">
        <v>159</v>
      </c>
      <c r="F548" s="99">
        <v>0.39305555555555555</v>
      </c>
      <c r="G548" s="102"/>
      <c r="H548" s="101"/>
      <c r="I548" s="92" t="str">
        <f>IFERROR(VLOOKUP(D548,'Công T5'!$C$7:$F$89,4,0),"")</f>
        <v>NL</v>
      </c>
      <c r="J548" s="92">
        <f t="shared" si="8"/>
        <v>0.3930555556</v>
      </c>
      <c r="K548" s="92" t="str">
        <f t="shared" si="1"/>
        <v/>
      </c>
      <c r="L548" s="92" t="str">
        <f>IFERROR(VLOOKUP(D548,'Công T5'!$C$7:$F$89,2,0),"")</f>
        <v/>
      </c>
      <c r="M548" s="92" t="str">
        <f>IFERROR(VLOOKUP(D548,'Công T5'!$C$7:$F$89,3,0),"")</f>
        <v/>
      </c>
      <c r="N548" s="92">
        <f t="shared" si="9"/>
        <v>0.3930555556</v>
      </c>
      <c r="O548" s="92" t="str">
        <f t="shared" si="2"/>
        <v/>
      </c>
      <c r="P548" s="94">
        <f t="shared" si="3"/>
        <v>0</v>
      </c>
      <c r="Q548" s="94" t="str">
        <f t="shared" si="4"/>
        <v/>
      </c>
      <c r="R548" s="95">
        <f t="shared" si="5"/>
        <v>0.5</v>
      </c>
      <c r="S548" s="95" t="str">
        <f t="shared" si="6"/>
        <v/>
      </c>
      <c r="T548" s="95">
        <f t="shared" si="7"/>
        <v>1</v>
      </c>
    </row>
    <row r="549">
      <c r="A549" s="96">
        <v>47.0</v>
      </c>
      <c r="B549" s="97">
        <v>44678.0</v>
      </c>
      <c r="C549" s="96">
        <v>10106.0</v>
      </c>
      <c r="D549" s="98" t="s">
        <v>164</v>
      </c>
      <c r="E549" s="98" t="s">
        <v>159</v>
      </c>
      <c r="F549" s="99">
        <v>0.4125</v>
      </c>
      <c r="G549" s="102"/>
      <c r="H549" s="101"/>
      <c r="I549" s="92" t="str">
        <f>IFERROR(VLOOKUP(D549,'Công T5'!$C$7:$F$89,4,0),"")</f>
        <v>NL</v>
      </c>
      <c r="J549" s="92">
        <f t="shared" si="8"/>
        <v>0.4125</v>
      </c>
      <c r="K549" s="92" t="str">
        <f t="shared" si="1"/>
        <v/>
      </c>
      <c r="L549" s="92" t="str">
        <f>IFERROR(VLOOKUP(D549,'Công T5'!$C$7:$F$89,2,0),"")</f>
        <v/>
      </c>
      <c r="M549" s="92" t="str">
        <f>IFERROR(VLOOKUP(D549,'Công T5'!$C$7:$F$89,3,0),"")</f>
        <v/>
      </c>
      <c r="N549" s="92">
        <f t="shared" si="9"/>
        <v>0.4125</v>
      </c>
      <c r="O549" s="92" t="str">
        <f t="shared" si="2"/>
        <v/>
      </c>
      <c r="P549" s="94">
        <f t="shared" si="3"/>
        <v>0</v>
      </c>
      <c r="Q549" s="94" t="str">
        <f t="shared" si="4"/>
        <v/>
      </c>
      <c r="R549" s="95">
        <f t="shared" si="5"/>
        <v>0.5</v>
      </c>
      <c r="S549" s="95" t="str">
        <f t="shared" si="6"/>
        <v/>
      </c>
      <c r="T549" s="95">
        <f t="shared" si="7"/>
        <v>1</v>
      </c>
    </row>
    <row r="550">
      <c r="A550" s="96">
        <v>48.0</v>
      </c>
      <c r="B550" s="97">
        <v>44685.0</v>
      </c>
      <c r="C550" s="96">
        <v>10106.0</v>
      </c>
      <c r="D550" s="98" t="s">
        <v>164</v>
      </c>
      <c r="E550" s="98" t="s">
        <v>159</v>
      </c>
      <c r="F550" s="99">
        <v>0.39861111111111114</v>
      </c>
      <c r="G550" s="102"/>
      <c r="H550" s="101"/>
      <c r="I550" s="92" t="str">
        <f>IFERROR(VLOOKUP(D550,'Công T5'!$C$7:$F$89,4,0),"")</f>
        <v>NL</v>
      </c>
      <c r="J550" s="92">
        <f t="shared" si="8"/>
        <v>0.3986111111</v>
      </c>
      <c r="K550" s="92" t="str">
        <f t="shared" si="1"/>
        <v/>
      </c>
      <c r="L550" s="92" t="str">
        <f>IFERROR(VLOOKUP(D550,'Công T5'!$C$7:$F$89,2,0),"")</f>
        <v/>
      </c>
      <c r="M550" s="92" t="str">
        <f>IFERROR(VLOOKUP(D550,'Công T5'!$C$7:$F$89,3,0),"")</f>
        <v/>
      </c>
      <c r="N550" s="92">
        <f t="shared" si="9"/>
        <v>0.3986111111</v>
      </c>
      <c r="O550" s="92" t="str">
        <f t="shared" si="2"/>
        <v/>
      </c>
      <c r="P550" s="94">
        <f t="shared" si="3"/>
        <v>0</v>
      </c>
      <c r="Q550" s="94" t="str">
        <f t="shared" si="4"/>
        <v/>
      </c>
      <c r="R550" s="95">
        <f t="shared" si="5"/>
        <v>0.5</v>
      </c>
      <c r="S550" s="95" t="str">
        <f t="shared" si="6"/>
        <v/>
      </c>
      <c r="T550" s="95">
        <f t="shared" si="7"/>
        <v>1</v>
      </c>
    </row>
    <row r="551">
      <c r="A551" s="96">
        <v>49.0</v>
      </c>
      <c r="B551" s="97">
        <v>44686.0</v>
      </c>
      <c r="C551" s="96">
        <v>10106.0</v>
      </c>
      <c r="D551" s="98" t="s">
        <v>164</v>
      </c>
      <c r="E551" s="98" t="s">
        <v>159</v>
      </c>
      <c r="F551" s="99">
        <v>0.3854166666666667</v>
      </c>
      <c r="G551" s="102"/>
      <c r="H551" s="101"/>
      <c r="I551" s="92" t="str">
        <f>IFERROR(VLOOKUP(D551,'Công T5'!$C$7:$F$89,4,0),"")</f>
        <v>NL</v>
      </c>
      <c r="J551" s="92">
        <f t="shared" si="8"/>
        <v>0.3854166667</v>
      </c>
      <c r="K551" s="92" t="str">
        <f t="shared" si="1"/>
        <v/>
      </c>
      <c r="L551" s="92" t="str">
        <f>IFERROR(VLOOKUP(D551,'Công T5'!$C$7:$F$89,2,0),"")</f>
        <v/>
      </c>
      <c r="M551" s="92" t="str">
        <f>IFERROR(VLOOKUP(D551,'Công T5'!$C$7:$F$89,3,0),"")</f>
        <v/>
      </c>
      <c r="N551" s="92">
        <f t="shared" si="9"/>
        <v>0.3854166667</v>
      </c>
      <c r="O551" s="92" t="str">
        <f t="shared" si="2"/>
        <v/>
      </c>
      <c r="P551" s="94">
        <f t="shared" si="3"/>
        <v>0</v>
      </c>
      <c r="Q551" s="94" t="str">
        <f t="shared" si="4"/>
        <v/>
      </c>
      <c r="R551" s="95">
        <f t="shared" si="5"/>
        <v>0.5</v>
      </c>
      <c r="S551" s="95" t="str">
        <f t="shared" si="6"/>
        <v/>
      </c>
      <c r="T551" s="95">
        <f t="shared" si="7"/>
        <v>1</v>
      </c>
    </row>
    <row r="552">
      <c r="A552" s="96">
        <v>50.0</v>
      </c>
      <c r="B552" s="97">
        <v>44690.0</v>
      </c>
      <c r="C552" s="96">
        <v>10106.0</v>
      </c>
      <c r="D552" s="98" t="s">
        <v>164</v>
      </c>
      <c r="E552" s="98" t="s">
        <v>159</v>
      </c>
      <c r="F552" s="99">
        <v>0.3625</v>
      </c>
      <c r="G552" s="102"/>
      <c r="H552" s="101"/>
      <c r="I552" s="92" t="str">
        <f>IFERROR(VLOOKUP(D552,'Công T5'!$C$7:$F$89,4,0),"")</f>
        <v>NL</v>
      </c>
      <c r="J552" s="92">
        <f t="shared" si="8"/>
        <v>0.3625</v>
      </c>
      <c r="K552" s="92" t="str">
        <f t="shared" si="1"/>
        <v/>
      </c>
      <c r="L552" s="92" t="str">
        <f>IFERROR(VLOOKUP(D552,'Công T5'!$C$7:$F$89,2,0),"")</f>
        <v/>
      </c>
      <c r="M552" s="92" t="str">
        <f>IFERROR(VLOOKUP(D552,'Công T5'!$C$7:$F$89,3,0),"")</f>
        <v/>
      </c>
      <c r="N552" s="92">
        <f t="shared" si="9"/>
        <v>0.3625</v>
      </c>
      <c r="O552" s="92" t="str">
        <f t="shared" si="2"/>
        <v/>
      </c>
      <c r="P552" s="94">
        <f t="shared" si="3"/>
        <v>0</v>
      </c>
      <c r="Q552" s="94" t="str">
        <f t="shared" si="4"/>
        <v/>
      </c>
      <c r="R552" s="95">
        <f t="shared" si="5"/>
        <v>0.5</v>
      </c>
      <c r="S552" s="95" t="str">
        <f t="shared" si="6"/>
        <v/>
      </c>
      <c r="T552" s="95">
        <f t="shared" si="7"/>
        <v>1</v>
      </c>
    </row>
    <row r="553">
      <c r="A553" s="96">
        <v>51.0</v>
      </c>
      <c r="B553" s="97">
        <v>44693.0</v>
      </c>
      <c r="C553" s="96">
        <v>10106.0</v>
      </c>
      <c r="D553" s="98" t="s">
        <v>164</v>
      </c>
      <c r="E553" s="98" t="s">
        <v>159</v>
      </c>
      <c r="F553" s="99">
        <v>0.3923611111111111</v>
      </c>
      <c r="G553" s="102"/>
      <c r="H553" s="101"/>
      <c r="I553" s="92" t="str">
        <f>IFERROR(VLOOKUP(D553,'Công T5'!$C$7:$F$89,4,0),"")</f>
        <v>NL</v>
      </c>
      <c r="J553" s="92">
        <f t="shared" si="8"/>
        <v>0.3923611111</v>
      </c>
      <c r="K553" s="92" t="str">
        <f t="shared" si="1"/>
        <v/>
      </c>
      <c r="L553" s="92" t="str">
        <f>IFERROR(VLOOKUP(D553,'Công T5'!$C$7:$F$89,2,0),"")</f>
        <v/>
      </c>
      <c r="M553" s="92" t="str">
        <f>IFERROR(VLOOKUP(D553,'Công T5'!$C$7:$F$89,3,0),"")</f>
        <v/>
      </c>
      <c r="N553" s="92">
        <f t="shared" si="9"/>
        <v>0.3923611111</v>
      </c>
      <c r="O553" s="92" t="str">
        <f t="shared" si="2"/>
        <v/>
      </c>
      <c r="P553" s="94">
        <f t="shared" si="3"/>
        <v>0</v>
      </c>
      <c r="Q553" s="94" t="str">
        <f t="shared" si="4"/>
        <v/>
      </c>
      <c r="R553" s="95">
        <f t="shared" si="5"/>
        <v>0.5</v>
      </c>
      <c r="S553" s="95" t="str">
        <f t="shared" si="6"/>
        <v/>
      </c>
      <c r="T553" s="95">
        <f t="shared" si="7"/>
        <v>1</v>
      </c>
    </row>
    <row r="554">
      <c r="A554" s="96">
        <v>52.0</v>
      </c>
      <c r="B554" s="97">
        <v>44699.0</v>
      </c>
      <c r="C554" s="96">
        <v>10106.0</v>
      </c>
      <c r="D554" s="98" t="s">
        <v>164</v>
      </c>
      <c r="E554" s="98" t="s">
        <v>159</v>
      </c>
      <c r="F554" s="99">
        <v>0.5444444444444444</v>
      </c>
      <c r="G554" s="102"/>
      <c r="H554" s="101"/>
      <c r="I554" s="92" t="str">
        <f>IFERROR(VLOOKUP(D554,'Công T5'!$C$7:$F$89,4,0),"")</f>
        <v>NL</v>
      </c>
      <c r="J554" s="92">
        <f t="shared" si="8"/>
        <v>0.5444444444</v>
      </c>
      <c r="K554" s="92" t="str">
        <f t="shared" si="1"/>
        <v/>
      </c>
      <c r="L554" s="92" t="str">
        <f>IFERROR(VLOOKUP(D554,'Công T5'!$C$7:$F$89,2,0),"")</f>
        <v/>
      </c>
      <c r="M554" s="92" t="str">
        <f>IFERROR(VLOOKUP(D554,'Công T5'!$C$7:$F$89,3,0),"")</f>
        <v/>
      </c>
      <c r="N554" s="92">
        <f t="shared" si="9"/>
        <v>0.5444444444</v>
      </c>
      <c r="O554" s="92" t="str">
        <f t="shared" si="2"/>
        <v/>
      </c>
      <c r="P554" s="94">
        <f t="shared" si="3"/>
        <v>0</v>
      </c>
      <c r="Q554" s="94" t="str">
        <f t="shared" si="4"/>
        <v/>
      </c>
      <c r="R554" s="95">
        <f t="shared" si="5"/>
        <v>0.5</v>
      </c>
      <c r="S554" s="95" t="str">
        <f t="shared" si="6"/>
        <v/>
      </c>
      <c r="T554" s="95">
        <f t="shared" si="7"/>
        <v>1</v>
      </c>
    </row>
    <row r="555">
      <c r="A555" s="96">
        <v>53.0</v>
      </c>
      <c r="B555" s="97">
        <v>44705.0</v>
      </c>
      <c r="C555" s="96">
        <v>10106.0</v>
      </c>
      <c r="D555" s="98" t="s">
        <v>164</v>
      </c>
      <c r="E555" s="98" t="s">
        <v>159</v>
      </c>
      <c r="F555" s="99">
        <v>0.47430555555555554</v>
      </c>
      <c r="G555" s="102"/>
      <c r="H555" s="101"/>
      <c r="I555" s="92" t="str">
        <f>IFERROR(VLOOKUP(D555,'Công T5'!$C$7:$F$89,4,0),"")</f>
        <v>NL</v>
      </c>
      <c r="J555" s="92">
        <f t="shared" si="8"/>
        <v>0.4743055556</v>
      </c>
      <c r="K555" s="92" t="str">
        <f t="shared" si="1"/>
        <v/>
      </c>
      <c r="L555" s="92" t="str">
        <f>IFERROR(VLOOKUP(D555,'Công T5'!$C$7:$F$89,2,0),"")</f>
        <v/>
      </c>
      <c r="M555" s="92" t="str">
        <f>IFERROR(VLOOKUP(D555,'Công T5'!$C$7:$F$89,3,0),"")</f>
        <v/>
      </c>
      <c r="N555" s="92">
        <f t="shared" si="9"/>
        <v>0.4743055556</v>
      </c>
      <c r="O555" s="92" t="str">
        <f t="shared" si="2"/>
        <v/>
      </c>
      <c r="P555" s="94">
        <f t="shared" si="3"/>
        <v>0</v>
      </c>
      <c r="Q555" s="94" t="str">
        <f t="shared" si="4"/>
        <v/>
      </c>
      <c r="R555" s="95">
        <f t="shared" si="5"/>
        <v>0.5</v>
      </c>
      <c r="S555" s="95" t="str">
        <f t="shared" si="6"/>
        <v/>
      </c>
      <c r="T555" s="95">
        <f t="shared" si="7"/>
        <v>1</v>
      </c>
    </row>
    <row r="556">
      <c r="A556" s="96">
        <v>54.0</v>
      </c>
      <c r="B556" s="97">
        <v>44706.0</v>
      </c>
      <c r="C556" s="96">
        <v>10106.0</v>
      </c>
      <c r="D556" s="98" t="s">
        <v>164</v>
      </c>
      <c r="E556" s="98" t="s">
        <v>159</v>
      </c>
      <c r="F556" s="99">
        <v>0.3229166666666667</v>
      </c>
      <c r="G556" s="102"/>
      <c r="H556" s="101"/>
      <c r="I556" s="92" t="str">
        <f>IFERROR(VLOOKUP(D556,'Công T5'!$C$7:$F$89,4,0),"")</f>
        <v>NL</v>
      </c>
      <c r="J556" s="92">
        <f t="shared" si="8"/>
        <v>0.3229166667</v>
      </c>
      <c r="K556" s="92" t="str">
        <f t="shared" si="1"/>
        <v/>
      </c>
      <c r="L556" s="92" t="str">
        <f>IFERROR(VLOOKUP(D556,'Công T5'!$C$7:$F$89,2,0),"")</f>
        <v/>
      </c>
      <c r="M556" s="92" t="str">
        <f>IFERROR(VLOOKUP(D556,'Công T5'!$C$7:$F$89,3,0),"")</f>
        <v/>
      </c>
      <c r="N556" s="92">
        <f t="shared" si="9"/>
        <v>0.3333333333</v>
      </c>
      <c r="O556" s="92" t="str">
        <f t="shared" si="2"/>
        <v/>
      </c>
      <c r="P556" s="94">
        <f t="shared" si="3"/>
        <v>0</v>
      </c>
      <c r="Q556" s="94" t="str">
        <f t="shared" si="4"/>
        <v/>
      </c>
      <c r="R556" s="95">
        <f t="shared" si="5"/>
        <v>0.5</v>
      </c>
      <c r="S556" s="95" t="str">
        <f t="shared" si="6"/>
        <v/>
      </c>
      <c r="T556" s="95">
        <f t="shared" si="7"/>
        <v>1</v>
      </c>
    </row>
    <row r="557">
      <c r="A557" s="96">
        <v>55.0</v>
      </c>
      <c r="B557" s="97">
        <v>44677.0</v>
      </c>
      <c r="C557" s="96">
        <v>10218.0</v>
      </c>
      <c r="D557" s="98" t="s">
        <v>92</v>
      </c>
      <c r="E557" s="98" t="s">
        <v>159</v>
      </c>
      <c r="F557" s="99">
        <v>0.37430555555555556</v>
      </c>
      <c r="G557" s="99">
        <v>0.6895833333333333</v>
      </c>
      <c r="H557" s="101"/>
      <c r="I557" s="92" t="str">
        <f>IFERROR(VLOOKUP(D557,'Công T5'!$C$7:$F$89,4,0),"")</f>
        <v>NL</v>
      </c>
      <c r="J557" s="92">
        <f t="shared" si="8"/>
        <v>0.3743055556</v>
      </c>
      <c r="K557" s="92">
        <f t="shared" si="1"/>
        <v>0.6895833333</v>
      </c>
      <c r="L557" s="92" t="str">
        <f>IFERROR(VLOOKUP(D557,'Công T5'!$C$7:$F$89,2,0),"")</f>
        <v/>
      </c>
      <c r="M557" s="92" t="str">
        <f>IFERROR(VLOOKUP(D557,'Công T5'!$C$7:$F$89,3,0),"")</f>
        <v/>
      </c>
      <c r="N557" s="92">
        <f t="shared" si="9"/>
        <v>0.3743055556</v>
      </c>
      <c r="O557" s="92">
        <f t="shared" si="2"/>
        <v>0.6895833333</v>
      </c>
      <c r="P557" s="94">
        <f t="shared" si="3"/>
        <v>0.3770833333</v>
      </c>
      <c r="Q557" s="94">
        <f t="shared" si="4"/>
        <v>0.44375</v>
      </c>
      <c r="R557" s="95">
        <f t="shared" si="5"/>
        <v>0.8208333333</v>
      </c>
      <c r="S557" s="95">
        <f t="shared" si="6"/>
        <v>0</v>
      </c>
      <c r="T557" s="95">
        <f t="shared" si="7"/>
        <v>0</v>
      </c>
    </row>
    <row r="558">
      <c r="A558" s="96">
        <v>56.0</v>
      </c>
      <c r="B558" s="97">
        <v>44678.0</v>
      </c>
      <c r="C558" s="96">
        <v>10218.0</v>
      </c>
      <c r="D558" s="98" t="s">
        <v>92</v>
      </c>
      <c r="E558" s="98" t="s">
        <v>159</v>
      </c>
      <c r="F558" s="99">
        <v>0.38958333333333334</v>
      </c>
      <c r="G558" s="102"/>
      <c r="H558" s="101"/>
      <c r="I558" s="92" t="str">
        <f>IFERROR(VLOOKUP(D558,'Công T5'!$C$7:$F$89,4,0),"")</f>
        <v>NL</v>
      </c>
      <c r="J558" s="92">
        <f t="shared" si="8"/>
        <v>0.3895833333</v>
      </c>
      <c r="K558" s="92" t="str">
        <f t="shared" si="1"/>
        <v/>
      </c>
      <c r="L558" s="92" t="str">
        <f>IFERROR(VLOOKUP(D558,'Công T5'!$C$7:$F$89,2,0),"")</f>
        <v/>
      </c>
      <c r="M558" s="92" t="str">
        <f>IFERROR(VLOOKUP(D558,'Công T5'!$C$7:$F$89,3,0),"")</f>
        <v/>
      </c>
      <c r="N558" s="92">
        <f t="shared" si="9"/>
        <v>0.3895833333</v>
      </c>
      <c r="O558" s="92" t="str">
        <f t="shared" si="2"/>
        <v/>
      </c>
      <c r="P558" s="94">
        <f t="shared" si="3"/>
        <v>0</v>
      </c>
      <c r="Q558" s="94" t="str">
        <f t="shared" si="4"/>
        <v/>
      </c>
      <c r="R558" s="95">
        <f t="shared" si="5"/>
        <v>0.5</v>
      </c>
      <c r="S558" s="95" t="str">
        <f t="shared" si="6"/>
        <v/>
      </c>
      <c r="T558" s="95">
        <f t="shared" si="7"/>
        <v>1</v>
      </c>
    </row>
    <row r="559">
      <c r="A559" s="96">
        <v>57.0</v>
      </c>
      <c r="B559" s="97">
        <v>44686.0</v>
      </c>
      <c r="C559" s="96">
        <v>10218.0</v>
      </c>
      <c r="D559" s="98" t="s">
        <v>92</v>
      </c>
      <c r="E559" s="98" t="s">
        <v>159</v>
      </c>
      <c r="F559" s="99">
        <v>0.3590277777777778</v>
      </c>
      <c r="G559" s="102"/>
      <c r="H559" s="101"/>
      <c r="I559" s="92" t="str">
        <f>IFERROR(VLOOKUP(D559,'Công T5'!$C$7:$F$89,4,0),"")</f>
        <v>NL</v>
      </c>
      <c r="J559" s="92">
        <f t="shared" si="8"/>
        <v>0.3590277778</v>
      </c>
      <c r="K559" s="92" t="str">
        <f t="shared" si="1"/>
        <v/>
      </c>
      <c r="L559" s="92" t="str">
        <f>IFERROR(VLOOKUP(D559,'Công T5'!$C$7:$F$89,2,0),"")</f>
        <v/>
      </c>
      <c r="M559" s="92" t="str">
        <f>IFERROR(VLOOKUP(D559,'Công T5'!$C$7:$F$89,3,0),"")</f>
        <v/>
      </c>
      <c r="N559" s="92">
        <f t="shared" si="9"/>
        <v>0.3590277778</v>
      </c>
      <c r="O559" s="92" t="str">
        <f t="shared" si="2"/>
        <v/>
      </c>
      <c r="P559" s="94">
        <f t="shared" si="3"/>
        <v>0</v>
      </c>
      <c r="Q559" s="94" t="str">
        <f t="shared" si="4"/>
        <v/>
      </c>
      <c r="R559" s="95">
        <f t="shared" si="5"/>
        <v>0.5</v>
      </c>
      <c r="S559" s="95" t="str">
        <f t="shared" si="6"/>
        <v/>
      </c>
      <c r="T559" s="95">
        <f t="shared" si="7"/>
        <v>1</v>
      </c>
    </row>
    <row r="560">
      <c r="A560" s="96">
        <v>58.0</v>
      </c>
      <c r="B560" s="97">
        <v>44687.0</v>
      </c>
      <c r="C560" s="96">
        <v>10218.0</v>
      </c>
      <c r="D560" s="98" t="s">
        <v>92</v>
      </c>
      <c r="E560" s="98" t="s">
        <v>159</v>
      </c>
      <c r="F560" s="99">
        <v>0.3611111111111111</v>
      </c>
      <c r="G560" s="102"/>
      <c r="H560" s="101"/>
      <c r="I560" s="92" t="str">
        <f>IFERROR(VLOOKUP(D560,'Công T5'!$C$7:$F$89,4,0),"")</f>
        <v>NL</v>
      </c>
      <c r="J560" s="92">
        <f t="shared" si="8"/>
        <v>0.3611111111</v>
      </c>
      <c r="K560" s="92" t="str">
        <f t="shared" si="1"/>
        <v/>
      </c>
      <c r="L560" s="92" t="str">
        <f>IFERROR(VLOOKUP(D560,'Công T5'!$C$7:$F$89,2,0),"")</f>
        <v/>
      </c>
      <c r="M560" s="92" t="str">
        <f>IFERROR(VLOOKUP(D560,'Công T5'!$C$7:$F$89,3,0),"")</f>
        <v/>
      </c>
      <c r="N560" s="92">
        <f t="shared" si="9"/>
        <v>0.3611111111</v>
      </c>
      <c r="O560" s="92" t="str">
        <f t="shared" si="2"/>
        <v/>
      </c>
      <c r="P560" s="94">
        <f t="shared" si="3"/>
        <v>0</v>
      </c>
      <c r="Q560" s="94" t="str">
        <f t="shared" si="4"/>
        <v/>
      </c>
      <c r="R560" s="95">
        <f t="shared" si="5"/>
        <v>0.5</v>
      </c>
      <c r="S560" s="95" t="str">
        <f t="shared" si="6"/>
        <v/>
      </c>
      <c r="T560" s="95">
        <f t="shared" si="7"/>
        <v>1</v>
      </c>
    </row>
    <row r="561">
      <c r="A561" s="96">
        <v>59.0</v>
      </c>
      <c r="B561" s="97">
        <v>44690.0</v>
      </c>
      <c r="C561" s="96">
        <v>10218.0</v>
      </c>
      <c r="D561" s="98" t="s">
        <v>92</v>
      </c>
      <c r="E561" s="98" t="s">
        <v>159</v>
      </c>
      <c r="F561" s="99">
        <v>0.3763888888888889</v>
      </c>
      <c r="G561" s="102"/>
      <c r="H561" s="101"/>
      <c r="I561" s="92" t="str">
        <f>IFERROR(VLOOKUP(D561,'Công T5'!$C$7:$F$89,4,0),"")</f>
        <v>NL</v>
      </c>
      <c r="J561" s="92">
        <f t="shared" si="8"/>
        <v>0.3763888889</v>
      </c>
      <c r="K561" s="92" t="str">
        <f t="shared" si="1"/>
        <v/>
      </c>
      <c r="L561" s="92" t="str">
        <f>IFERROR(VLOOKUP(D561,'Công T5'!$C$7:$F$89,2,0),"")</f>
        <v/>
      </c>
      <c r="M561" s="92" t="str">
        <f>IFERROR(VLOOKUP(D561,'Công T5'!$C$7:$F$89,3,0),"")</f>
        <v/>
      </c>
      <c r="N561" s="92">
        <f t="shared" si="9"/>
        <v>0.3763888889</v>
      </c>
      <c r="O561" s="92" t="str">
        <f t="shared" si="2"/>
        <v/>
      </c>
      <c r="P561" s="94">
        <f t="shared" si="3"/>
        <v>0</v>
      </c>
      <c r="Q561" s="94" t="str">
        <f t="shared" si="4"/>
        <v/>
      </c>
      <c r="R561" s="95">
        <f t="shared" si="5"/>
        <v>0.5</v>
      </c>
      <c r="S561" s="95" t="str">
        <f t="shared" si="6"/>
        <v/>
      </c>
      <c r="T561" s="95">
        <f t="shared" si="7"/>
        <v>1</v>
      </c>
    </row>
    <row r="562">
      <c r="A562" s="96">
        <v>60.0</v>
      </c>
      <c r="B562" s="97">
        <v>44691.0</v>
      </c>
      <c r="C562" s="96">
        <v>10218.0</v>
      </c>
      <c r="D562" s="98" t="s">
        <v>92</v>
      </c>
      <c r="E562" s="98" t="s">
        <v>159</v>
      </c>
      <c r="F562" s="99">
        <v>0.3277777777777778</v>
      </c>
      <c r="G562" s="102"/>
      <c r="H562" s="101"/>
      <c r="I562" s="92" t="str">
        <f>IFERROR(VLOOKUP(D562,'Công T5'!$C$7:$F$89,4,0),"")</f>
        <v>NL</v>
      </c>
      <c r="J562" s="92">
        <f t="shared" si="8"/>
        <v>0.3277777778</v>
      </c>
      <c r="K562" s="92" t="str">
        <f t="shared" si="1"/>
        <v/>
      </c>
      <c r="L562" s="92" t="str">
        <f>IFERROR(VLOOKUP(D562,'Công T5'!$C$7:$F$89,2,0),"")</f>
        <v/>
      </c>
      <c r="M562" s="92" t="str">
        <f>IFERROR(VLOOKUP(D562,'Công T5'!$C$7:$F$89,3,0),"")</f>
        <v/>
      </c>
      <c r="N562" s="92">
        <f t="shared" si="9"/>
        <v>0.3333333333</v>
      </c>
      <c r="O562" s="92" t="str">
        <f t="shared" si="2"/>
        <v/>
      </c>
      <c r="P562" s="94">
        <f t="shared" si="3"/>
        <v>0</v>
      </c>
      <c r="Q562" s="94" t="str">
        <f t="shared" si="4"/>
        <v/>
      </c>
      <c r="R562" s="95">
        <f t="shared" si="5"/>
        <v>0.5</v>
      </c>
      <c r="S562" s="95" t="str">
        <f t="shared" si="6"/>
        <v/>
      </c>
      <c r="T562" s="95">
        <f t="shared" si="7"/>
        <v>1</v>
      </c>
    </row>
    <row r="563">
      <c r="A563" s="96">
        <v>61.0</v>
      </c>
      <c r="B563" s="97">
        <v>44692.0</v>
      </c>
      <c r="C563" s="96">
        <v>10218.0</v>
      </c>
      <c r="D563" s="98" t="s">
        <v>92</v>
      </c>
      <c r="E563" s="98" t="s">
        <v>159</v>
      </c>
      <c r="F563" s="99">
        <v>0.3576388888888889</v>
      </c>
      <c r="G563" s="102"/>
      <c r="H563" s="101"/>
      <c r="I563" s="92" t="str">
        <f>IFERROR(VLOOKUP(D563,'Công T5'!$C$7:$F$89,4,0),"")</f>
        <v>NL</v>
      </c>
      <c r="J563" s="92">
        <f t="shared" si="8"/>
        <v>0.3576388889</v>
      </c>
      <c r="K563" s="92" t="str">
        <f t="shared" si="1"/>
        <v/>
      </c>
      <c r="L563" s="92" t="str">
        <f>IFERROR(VLOOKUP(D563,'Công T5'!$C$7:$F$89,2,0),"")</f>
        <v/>
      </c>
      <c r="M563" s="92" t="str">
        <f>IFERROR(VLOOKUP(D563,'Công T5'!$C$7:$F$89,3,0),"")</f>
        <v/>
      </c>
      <c r="N563" s="92">
        <f t="shared" si="9"/>
        <v>0.3576388889</v>
      </c>
      <c r="O563" s="92" t="str">
        <f t="shared" si="2"/>
        <v/>
      </c>
      <c r="P563" s="94">
        <f t="shared" si="3"/>
        <v>0</v>
      </c>
      <c r="Q563" s="94" t="str">
        <f t="shared" si="4"/>
        <v/>
      </c>
      <c r="R563" s="95">
        <f t="shared" si="5"/>
        <v>0.5</v>
      </c>
      <c r="S563" s="95" t="str">
        <f t="shared" si="6"/>
        <v/>
      </c>
      <c r="T563" s="95">
        <f t="shared" si="7"/>
        <v>1</v>
      </c>
    </row>
    <row r="564">
      <c r="A564" s="96">
        <v>62.0</v>
      </c>
      <c r="B564" s="103">
        <v>44693.0</v>
      </c>
      <c r="C564" s="96">
        <v>10218.0</v>
      </c>
      <c r="D564" s="98" t="s">
        <v>92</v>
      </c>
      <c r="E564" s="98" t="s">
        <v>159</v>
      </c>
      <c r="F564" s="99">
        <v>0.5513888888888889</v>
      </c>
      <c r="G564" s="102"/>
      <c r="H564" s="101"/>
      <c r="I564" s="92" t="str">
        <f>IFERROR(VLOOKUP(D564,'Công T5'!$C$7:$F$89,4,0),"")</f>
        <v>NL</v>
      </c>
      <c r="J564" s="92">
        <f t="shared" si="8"/>
        <v>0.5513888889</v>
      </c>
      <c r="K564" s="92" t="str">
        <f t="shared" si="1"/>
        <v/>
      </c>
      <c r="L564" s="92" t="str">
        <f>IFERROR(VLOOKUP(D564,'Công T5'!$C$7:$F$89,2,0),"")</f>
        <v/>
      </c>
      <c r="M564" s="92" t="str">
        <f>IFERROR(VLOOKUP(D564,'Công T5'!$C$7:$F$89,3,0),"")</f>
        <v/>
      </c>
      <c r="N564" s="92">
        <f t="shared" si="9"/>
        <v>0.5513888889</v>
      </c>
      <c r="O564" s="92" t="str">
        <f t="shared" si="2"/>
        <v/>
      </c>
      <c r="P564" s="94">
        <f t="shared" si="3"/>
        <v>0</v>
      </c>
      <c r="Q564" s="94" t="str">
        <f t="shared" si="4"/>
        <v/>
      </c>
      <c r="R564" s="95">
        <f t="shared" si="5"/>
        <v>0.5</v>
      </c>
      <c r="S564" s="95" t="str">
        <f t="shared" si="6"/>
        <v/>
      </c>
      <c r="T564" s="95">
        <f t="shared" si="7"/>
        <v>1</v>
      </c>
    </row>
    <row r="565">
      <c r="A565" s="96">
        <v>63.0</v>
      </c>
      <c r="B565" s="97">
        <v>44697.0</v>
      </c>
      <c r="C565" s="96">
        <v>10218.0</v>
      </c>
      <c r="D565" s="98" t="s">
        <v>92</v>
      </c>
      <c r="E565" s="98" t="s">
        <v>159</v>
      </c>
      <c r="F565" s="99">
        <v>0.3659722222222222</v>
      </c>
      <c r="G565" s="102"/>
      <c r="H565" s="101"/>
      <c r="I565" s="92" t="str">
        <f>IFERROR(VLOOKUP(D565,'Công T5'!$C$7:$F$89,4,0),"")</f>
        <v>NL</v>
      </c>
      <c r="J565" s="92">
        <f t="shared" si="8"/>
        <v>0.3659722222</v>
      </c>
      <c r="K565" s="92" t="str">
        <f t="shared" si="1"/>
        <v/>
      </c>
      <c r="L565" s="92" t="str">
        <f>IFERROR(VLOOKUP(D565,'Công T5'!$C$7:$F$89,2,0),"")</f>
        <v/>
      </c>
      <c r="M565" s="92" t="str">
        <f>IFERROR(VLOOKUP(D565,'Công T5'!$C$7:$F$89,3,0),"")</f>
        <v/>
      </c>
      <c r="N565" s="92">
        <f t="shared" si="9"/>
        <v>0.3659722222</v>
      </c>
      <c r="O565" s="92" t="str">
        <f t="shared" si="2"/>
        <v/>
      </c>
      <c r="P565" s="94">
        <f t="shared" si="3"/>
        <v>0</v>
      </c>
      <c r="Q565" s="94" t="str">
        <f t="shared" si="4"/>
        <v/>
      </c>
      <c r="R565" s="95">
        <f t="shared" si="5"/>
        <v>0.5</v>
      </c>
      <c r="S565" s="95" t="str">
        <f t="shared" si="6"/>
        <v/>
      </c>
      <c r="T565" s="95">
        <f t="shared" si="7"/>
        <v>1</v>
      </c>
    </row>
    <row r="566">
      <c r="A566" s="96">
        <v>64.0</v>
      </c>
      <c r="B566" s="97">
        <v>44698.0</v>
      </c>
      <c r="C566" s="96">
        <v>10218.0</v>
      </c>
      <c r="D566" s="98" t="s">
        <v>92</v>
      </c>
      <c r="E566" s="98" t="s">
        <v>159</v>
      </c>
      <c r="F566" s="99">
        <v>0.45208333333333334</v>
      </c>
      <c r="G566" s="102"/>
      <c r="H566" s="101"/>
      <c r="I566" s="92" t="str">
        <f>IFERROR(VLOOKUP(D566,'Công T5'!$C$7:$F$89,4,0),"")</f>
        <v>NL</v>
      </c>
      <c r="J566" s="92">
        <f t="shared" si="8"/>
        <v>0.4520833333</v>
      </c>
      <c r="K566" s="92" t="str">
        <f t="shared" si="1"/>
        <v/>
      </c>
      <c r="L566" s="92" t="str">
        <f>IFERROR(VLOOKUP(D566,'Công T5'!$C$7:$F$89,2,0),"")</f>
        <v/>
      </c>
      <c r="M566" s="92" t="str">
        <f>IFERROR(VLOOKUP(D566,'Công T5'!$C$7:$F$89,3,0),"")</f>
        <v/>
      </c>
      <c r="N566" s="92">
        <f t="shared" si="9"/>
        <v>0.4520833333</v>
      </c>
      <c r="O566" s="92" t="str">
        <f t="shared" si="2"/>
        <v/>
      </c>
      <c r="P566" s="94">
        <f t="shared" si="3"/>
        <v>0</v>
      </c>
      <c r="Q566" s="94" t="str">
        <f t="shared" si="4"/>
        <v/>
      </c>
      <c r="R566" s="95">
        <f t="shared" si="5"/>
        <v>0.5</v>
      </c>
      <c r="S566" s="95" t="str">
        <f t="shared" si="6"/>
        <v/>
      </c>
      <c r="T566" s="95">
        <f t="shared" si="7"/>
        <v>1</v>
      </c>
    </row>
    <row r="567">
      <c r="A567" s="96">
        <v>65.0</v>
      </c>
      <c r="B567" s="97">
        <v>44699.0</v>
      </c>
      <c r="C567" s="96">
        <v>10218.0</v>
      </c>
      <c r="D567" s="98" t="s">
        <v>92</v>
      </c>
      <c r="E567" s="98" t="s">
        <v>159</v>
      </c>
      <c r="F567" s="99">
        <v>0.38680555555555557</v>
      </c>
      <c r="G567" s="102"/>
      <c r="H567" s="101"/>
      <c r="I567" s="92" t="str">
        <f>IFERROR(VLOOKUP(D567,'Công T5'!$C$7:$F$89,4,0),"")</f>
        <v>NL</v>
      </c>
      <c r="J567" s="92">
        <f t="shared" si="8"/>
        <v>0.3868055556</v>
      </c>
      <c r="K567" s="92" t="str">
        <f t="shared" si="1"/>
        <v/>
      </c>
      <c r="L567" s="92" t="str">
        <f>IFERROR(VLOOKUP(D567,'Công T5'!$C$7:$F$89,2,0),"")</f>
        <v/>
      </c>
      <c r="M567" s="92" t="str">
        <f>IFERROR(VLOOKUP(D567,'Công T5'!$C$7:$F$89,3,0),"")</f>
        <v/>
      </c>
      <c r="N567" s="92">
        <f t="shared" si="9"/>
        <v>0.3868055556</v>
      </c>
      <c r="O567" s="92" t="str">
        <f t="shared" si="2"/>
        <v/>
      </c>
      <c r="P567" s="94">
        <f t="shared" si="3"/>
        <v>0</v>
      </c>
      <c r="Q567" s="94" t="str">
        <f t="shared" si="4"/>
        <v/>
      </c>
      <c r="R567" s="95">
        <f t="shared" si="5"/>
        <v>0.5</v>
      </c>
      <c r="S567" s="95" t="str">
        <f t="shared" si="6"/>
        <v/>
      </c>
      <c r="T567" s="95">
        <f t="shared" si="7"/>
        <v>1</v>
      </c>
    </row>
    <row r="568">
      <c r="A568" s="96">
        <v>66.0</v>
      </c>
      <c r="B568" s="97">
        <v>44700.0</v>
      </c>
      <c r="C568" s="96">
        <v>10218.0</v>
      </c>
      <c r="D568" s="98" t="s">
        <v>92</v>
      </c>
      <c r="E568" s="98" t="s">
        <v>159</v>
      </c>
      <c r="F568" s="99">
        <v>0.375</v>
      </c>
      <c r="G568" s="102"/>
      <c r="H568" s="101"/>
      <c r="I568" s="92" t="str">
        <f>IFERROR(VLOOKUP(D568,'Công T5'!$C$7:$F$89,4,0),"")</f>
        <v>NL</v>
      </c>
      <c r="J568" s="92">
        <f t="shared" si="8"/>
        <v>0.375</v>
      </c>
      <c r="K568" s="92" t="str">
        <f t="shared" si="1"/>
        <v/>
      </c>
      <c r="L568" s="92" t="str">
        <f>IFERROR(VLOOKUP(D568,'Công T5'!$C$7:$F$89,2,0),"")</f>
        <v/>
      </c>
      <c r="M568" s="92" t="str">
        <f>IFERROR(VLOOKUP(D568,'Công T5'!$C$7:$F$89,3,0),"")</f>
        <v/>
      </c>
      <c r="N568" s="92">
        <f t="shared" si="9"/>
        <v>0.375</v>
      </c>
      <c r="O568" s="92" t="str">
        <f t="shared" si="2"/>
        <v/>
      </c>
      <c r="P568" s="94">
        <f t="shared" si="3"/>
        <v>0</v>
      </c>
      <c r="Q568" s="94" t="str">
        <f t="shared" si="4"/>
        <v/>
      </c>
      <c r="R568" s="95">
        <f t="shared" si="5"/>
        <v>0.5</v>
      </c>
      <c r="S568" s="95" t="str">
        <f t="shared" si="6"/>
        <v/>
      </c>
      <c r="T568" s="95">
        <f t="shared" si="7"/>
        <v>1</v>
      </c>
    </row>
    <row r="569">
      <c r="A569" s="96">
        <v>67.0</v>
      </c>
      <c r="B569" s="97">
        <v>44705.0</v>
      </c>
      <c r="C569" s="96">
        <v>10218.0</v>
      </c>
      <c r="D569" s="98" t="s">
        <v>92</v>
      </c>
      <c r="E569" s="98" t="s">
        <v>159</v>
      </c>
      <c r="F569" s="99">
        <v>0.4</v>
      </c>
      <c r="G569" s="102"/>
      <c r="H569" s="101"/>
      <c r="I569" s="92" t="str">
        <f>IFERROR(VLOOKUP(D569,'Công T5'!$C$7:$F$89,4,0),"")</f>
        <v>NL</v>
      </c>
      <c r="J569" s="92">
        <f t="shared" si="8"/>
        <v>0.4</v>
      </c>
      <c r="K569" s="92" t="str">
        <f t="shared" si="1"/>
        <v/>
      </c>
      <c r="L569" s="92" t="str">
        <f>IFERROR(VLOOKUP(D569,'Công T5'!$C$7:$F$89,2,0),"")</f>
        <v/>
      </c>
      <c r="M569" s="92" t="str">
        <f>IFERROR(VLOOKUP(D569,'Công T5'!$C$7:$F$89,3,0),"")</f>
        <v/>
      </c>
      <c r="N569" s="92">
        <f t="shared" si="9"/>
        <v>0.4</v>
      </c>
      <c r="O569" s="92" t="str">
        <f t="shared" si="2"/>
        <v/>
      </c>
      <c r="P569" s="94">
        <f t="shared" si="3"/>
        <v>0</v>
      </c>
      <c r="Q569" s="94" t="str">
        <f t="shared" si="4"/>
        <v/>
      </c>
      <c r="R569" s="95">
        <f t="shared" si="5"/>
        <v>0.5</v>
      </c>
      <c r="S569" s="95" t="str">
        <f t="shared" si="6"/>
        <v/>
      </c>
      <c r="T569" s="95">
        <f t="shared" si="7"/>
        <v>1</v>
      </c>
    </row>
    <row r="570">
      <c r="A570" s="96">
        <v>68.0</v>
      </c>
      <c r="B570" s="97">
        <v>44706.0</v>
      </c>
      <c r="C570" s="96">
        <v>10218.0</v>
      </c>
      <c r="D570" s="98" t="s">
        <v>92</v>
      </c>
      <c r="E570" s="98" t="s">
        <v>159</v>
      </c>
      <c r="F570" s="99">
        <v>0.39305555555555555</v>
      </c>
      <c r="G570" s="102"/>
      <c r="H570" s="101"/>
      <c r="I570" s="92" t="str">
        <f>IFERROR(VLOOKUP(D570,'Công T5'!$C$7:$F$89,4,0),"")</f>
        <v>NL</v>
      </c>
      <c r="J570" s="92">
        <f t="shared" si="8"/>
        <v>0.3930555556</v>
      </c>
      <c r="K570" s="92" t="str">
        <f t="shared" si="1"/>
        <v/>
      </c>
      <c r="L570" s="92" t="str">
        <f>IFERROR(VLOOKUP(D570,'Công T5'!$C$7:$F$89,2,0),"")</f>
        <v/>
      </c>
      <c r="M570" s="92" t="str">
        <f>IFERROR(VLOOKUP(D570,'Công T5'!$C$7:$F$89,3,0),"")</f>
        <v/>
      </c>
      <c r="N570" s="92">
        <f t="shared" si="9"/>
        <v>0.3930555556</v>
      </c>
      <c r="O570" s="92" t="str">
        <f t="shared" si="2"/>
        <v/>
      </c>
      <c r="P570" s="94">
        <f t="shared" si="3"/>
        <v>0</v>
      </c>
      <c r="Q570" s="94" t="str">
        <f t="shared" si="4"/>
        <v/>
      </c>
      <c r="R570" s="95">
        <f t="shared" si="5"/>
        <v>0.5</v>
      </c>
      <c r="S570" s="95" t="str">
        <f t="shared" si="6"/>
        <v/>
      </c>
      <c r="T570" s="95">
        <f t="shared" si="7"/>
        <v>1</v>
      </c>
    </row>
    <row r="571">
      <c r="A571" s="96">
        <v>69.0</v>
      </c>
      <c r="B571" s="97">
        <v>44677.0</v>
      </c>
      <c r="C571" s="96">
        <v>10261.0</v>
      </c>
      <c r="D571" s="98" t="s">
        <v>90</v>
      </c>
      <c r="E571" s="104"/>
      <c r="F571" s="99">
        <v>0.7458333333333333</v>
      </c>
      <c r="G571" s="102"/>
      <c r="H571" s="101"/>
      <c r="I571" s="92" t="str">
        <f>IFERROR(VLOOKUP(D571,'Công T5'!$C$7:$F$89,4,0),"")</f>
        <v>KNL</v>
      </c>
      <c r="J571" s="92">
        <f t="shared" si="8"/>
        <v>0.7458333333</v>
      </c>
      <c r="K571" s="92" t="str">
        <f t="shared" si="1"/>
        <v/>
      </c>
      <c r="L571" s="92" t="str">
        <f>IFERROR(VLOOKUP(D571,'Công T5'!$C$7:$F$89,2,0),"")</f>
        <v/>
      </c>
      <c r="M571" s="92" t="str">
        <f>IFERROR(VLOOKUP(D571,'Công T5'!$C$7:$F$89,3,0),"")</f>
        <v/>
      </c>
      <c r="N571" s="92">
        <f t="shared" si="9"/>
        <v>0.7458333333</v>
      </c>
      <c r="O571" s="92" t="str">
        <f t="shared" si="2"/>
        <v/>
      </c>
      <c r="P571" s="94">
        <f t="shared" si="3"/>
        <v>0</v>
      </c>
      <c r="Q571" s="94" t="str">
        <f t="shared" si="4"/>
        <v/>
      </c>
      <c r="R571" s="95">
        <f t="shared" si="5"/>
        <v>0.5</v>
      </c>
      <c r="S571" s="95" t="str">
        <f t="shared" si="6"/>
        <v/>
      </c>
      <c r="T571" s="95">
        <f t="shared" si="7"/>
        <v>1</v>
      </c>
    </row>
    <row r="572">
      <c r="A572" s="96">
        <v>70.0</v>
      </c>
      <c r="B572" s="97">
        <v>44678.0</v>
      </c>
      <c r="C572" s="96">
        <v>10261.0</v>
      </c>
      <c r="D572" s="98" t="s">
        <v>90</v>
      </c>
      <c r="E572" s="104"/>
      <c r="F572" s="99">
        <v>0.32916666666666666</v>
      </c>
      <c r="G572" s="102"/>
      <c r="H572" s="101"/>
      <c r="I572" s="92" t="str">
        <f>IFERROR(VLOOKUP(D572,'Công T5'!$C$7:$F$89,4,0),"")</f>
        <v>KNL</v>
      </c>
      <c r="J572" s="92">
        <f t="shared" si="8"/>
        <v>0.3291666667</v>
      </c>
      <c r="K572" s="92" t="str">
        <f t="shared" si="1"/>
        <v/>
      </c>
      <c r="L572" s="92" t="str">
        <f>IFERROR(VLOOKUP(D572,'Công T5'!$C$7:$F$89,2,0),"")</f>
        <v/>
      </c>
      <c r="M572" s="92" t="str">
        <f>IFERROR(VLOOKUP(D572,'Công T5'!$C$7:$F$89,3,0),"")</f>
        <v/>
      </c>
      <c r="N572" s="92">
        <f t="shared" si="9"/>
        <v>0.3333333333</v>
      </c>
      <c r="O572" s="92" t="str">
        <f t="shared" si="2"/>
        <v/>
      </c>
      <c r="P572" s="94">
        <f t="shared" si="3"/>
        <v>0</v>
      </c>
      <c r="Q572" s="94" t="str">
        <f t="shared" si="4"/>
        <v/>
      </c>
      <c r="R572" s="95">
        <f t="shared" si="5"/>
        <v>0.5</v>
      </c>
      <c r="S572" s="95" t="str">
        <f t="shared" si="6"/>
        <v/>
      </c>
      <c r="T572" s="95">
        <f t="shared" si="7"/>
        <v>1</v>
      </c>
    </row>
    <row r="573">
      <c r="A573" s="96">
        <v>71.0</v>
      </c>
      <c r="B573" s="103">
        <v>44680.0</v>
      </c>
      <c r="C573" s="96">
        <v>10261.0</v>
      </c>
      <c r="D573" s="98" t="s">
        <v>90</v>
      </c>
      <c r="E573" s="104"/>
      <c r="F573" s="99">
        <v>0.32083333333333336</v>
      </c>
      <c r="G573" s="99">
        <v>0.7194444444444444</v>
      </c>
      <c r="H573" s="101"/>
      <c r="I573" s="92" t="str">
        <f>IFERROR(VLOOKUP(D573,'Công T5'!$C$7:$F$89,4,0),"")</f>
        <v>KNL</v>
      </c>
      <c r="J573" s="92">
        <f t="shared" si="8"/>
        <v>0.3208333333</v>
      </c>
      <c r="K573" s="92">
        <f t="shared" si="1"/>
        <v>0.7194444444</v>
      </c>
      <c r="L573" s="92" t="str">
        <f>IFERROR(VLOOKUP(D573,'Công T5'!$C$7:$F$89,2,0),"")</f>
        <v/>
      </c>
      <c r="M573" s="92" t="str">
        <f>IFERROR(VLOOKUP(D573,'Công T5'!$C$7:$F$89,3,0),"")</f>
        <v/>
      </c>
      <c r="N573" s="92">
        <f t="shared" si="9"/>
        <v>0.3333333333</v>
      </c>
      <c r="O573" s="92">
        <f t="shared" si="2"/>
        <v>0.7083333333</v>
      </c>
      <c r="P573" s="94">
        <f t="shared" si="3"/>
        <v>0.5</v>
      </c>
      <c r="Q573" s="94">
        <f t="shared" si="4"/>
        <v>0.5</v>
      </c>
      <c r="R573" s="95">
        <f t="shared" si="5"/>
        <v>1</v>
      </c>
      <c r="S573" s="95">
        <f t="shared" si="6"/>
        <v>0</v>
      </c>
      <c r="T573" s="95">
        <f t="shared" si="7"/>
        <v>0</v>
      </c>
    </row>
    <row r="574">
      <c r="A574" s="96">
        <v>72.0</v>
      </c>
      <c r="B574" s="103">
        <v>44685.0</v>
      </c>
      <c r="C574" s="96">
        <v>10261.0</v>
      </c>
      <c r="D574" s="98" t="s">
        <v>90</v>
      </c>
      <c r="E574" s="104"/>
      <c r="F574" s="99">
        <v>0.3326388888888889</v>
      </c>
      <c r="G574" s="99">
        <v>0.7423611111111111</v>
      </c>
      <c r="H574" s="101"/>
      <c r="I574" s="92" t="str">
        <f>IFERROR(VLOOKUP(D574,'Công T5'!$C$7:$F$89,4,0),"")</f>
        <v>KNL</v>
      </c>
      <c r="J574" s="92">
        <f t="shared" si="8"/>
        <v>0.3326388889</v>
      </c>
      <c r="K574" s="92">
        <f t="shared" si="1"/>
        <v>0.7423611111</v>
      </c>
      <c r="L574" s="92" t="str">
        <f>IFERROR(VLOOKUP(D574,'Công T5'!$C$7:$F$89,2,0),"")</f>
        <v/>
      </c>
      <c r="M574" s="92" t="str">
        <f>IFERROR(VLOOKUP(D574,'Công T5'!$C$7:$F$89,3,0),"")</f>
        <v/>
      </c>
      <c r="N574" s="92">
        <f t="shared" si="9"/>
        <v>0.3333333333</v>
      </c>
      <c r="O574" s="92">
        <f t="shared" si="2"/>
        <v>0.7083333333</v>
      </c>
      <c r="P574" s="94">
        <f t="shared" si="3"/>
        <v>0.5</v>
      </c>
      <c r="Q574" s="94">
        <f t="shared" si="4"/>
        <v>0.5</v>
      </c>
      <c r="R574" s="95">
        <f t="shared" si="5"/>
        <v>1</v>
      </c>
      <c r="S574" s="95">
        <f t="shared" si="6"/>
        <v>0</v>
      </c>
      <c r="T574" s="95">
        <f t="shared" si="7"/>
        <v>0</v>
      </c>
    </row>
    <row r="575">
      <c r="A575" s="96">
        <v>73.0</v>
      </c>
      <c r="B575" s="97">
        <v>44686.0</v>
      </c>
      <c r="C575" s="96">
        <v>10261.0</v>
      </c>
      <c r="D575" s="98" t="s">
        <v>90</v>
      </c>
      <c r="E575" s="104"/>
      <c r="F575" s="99">
        <v>0.3298611111111111</v>
      </c>
      <c r="G575" s="99">
        <v>0.7229166666666667</v>
      </c>
      <c r="H575" s="101"/>
      <c r="I575" s="92" t="str">
        <f>IFERROR(VLOOKUP(D575,'Công T5'!$C$7:$F$89,4,0),"")</f>
        <v>KNL</v>
      </c>
      <c r="J575" s="92">
        <f t="shared" si="8"/>
        <v>0.3298611111</v>
      </c>
      <c r="K575" s="92">
        <f t="shared" si="1"/>
        <v>0.7229166667</v>
      </c>
      <c r="L575" s="92" t="str">
        <f>IFERROR(VLOOKUP(D575,'Công T5'!$C$7:$F$89,2,0),"")</f>
        <v/>
      </c>
      <c r="M575" s="92" t="str">
        <f>IFERROR(VLOOKUP(D575,'Công T5'!$C$7:$F$89,3,0),"")</f>
        <v/>
      </c>
      <c r="N575" s="92">
        <f t="shared" si="9"/>
        <v>0.3333333333</v>
      </c>
      <c r="O575" s="92">
        <f t="shared" si="2"/>
        <v>0.7083333333</v>
      </c>
      <c r="P575" s="94">
        <f t="shared" si="3"/>
        <v>0.5</v>
      </c>
      <c r="Q575" s="94">
        <f t="shared" si="4"/>
        <v>0.5</v>
      </c>
      <c r="R575" s="95">
        <f t="shared" si="5"/>
        <v>1</v>
      </c>
      <c r="S575" s="95">
        <f t="shared" si="6"/>
        <v>0</v>
      </c>
      <c r="T575" s="95">
        <f t="shared" si="7"/>
        <v>0</v>
      </c>
    </row>
    <row r="576">
      <c r="A576" s="96">
        <v>74.0</v>
      </c>
      <c r="B576" s="97">
        <v>44687.0</v>
      </c>
      <c r="C576" s="96">
        <v>10261.0</v>
      </c>
      <c r="D576" s="98" t="s">
        <v>90</v>
      </c>
      <c r="E576" s="104"/>
      <c r="F576" s="99">
        <v>0.33194444444444443</v>
      </c>
      <c r="G576" s="99">
        <v>0.7326388888888888</v>
      </c>
      <c r="H576" s="101"/>
      <c r="I576" s="92" t="str">
        <f>IFERROR(VLOOKUP(D576,'Công T5'!$C$7:$F$89,4,0),"")</f>
        <v>KNL</v>
      </c>
      <c r="J576" s="92">
        <f t="shared" si="8"/>
        <v>0.3319444444</v>
      </c>
      <c r="K576" s="92">
        <f t="shared" si="1"/>
        <v>0.7326388889</v>
      </c>
      <c r="L576" s="92" t="str">
        <f>IFERROR(VLOOKUP(D576,'Công T5'!$C$7:$F$89,2,0),"")</f>
        <v/>
      </c>
      <c r="M576" s="92" t="str">
        <f>IFERROR(VLOOKUP(D576,'Công T5'!$C$7:$F$89,3,0),"")</f>
        <v/>
      </c>
      <c r="N576" s="92">
        <f t="shared" si="9"/>
        <v>0.3333333333</v>
      </c>
      <c r="O576" s="92">
        <f t="shared" si="2"/>
        <v>0.7083333333</v>
      </c>
      <c r="P576" s="94">
        <f t="shared" si="3"/>
        <v>0.5</v>
      </c>
      <c r="Q576" s="94">
        <f t="shared" si="4"/>
        <v>0.5</v>
      </c>
      <c r="R576" s="95">
        <f t="shared" si="5"/>
        <v>1</v>
      </c>
      <c r="S576" s="95">
        <f t="shared" si="6"/>
        <v>0</v>
      </c>
      <c r="T576" s="95">
        <f t="shared" si="7"/>
        <v>0</v>
      </c>
    </row>
    <row r="577">
      <c r="A577" s="96">
        <v>75.0</v>
      </c>
      <c r="B577" s="97">
        <v>44691.0</v>
      </c>
      <c r="C577" s="96">
        <v>10261.0</v>
      </c>
      <c r="D577" s="98" t="s">
        <v>90</v>
      </c>
      <c r="E577" s="104"/>
      <c r="F577" s="99">
        <v>0.5645833333333333</v>
      </c>
      <c r="G577" s="99">
        <v>0.7388888888888889</v>
      </c>
      <c r="H577" s="101"/>
      <c r="I577" s="92" t="str">
        <f>IFERROR(VLOOKUP(D577,'Công T5'!$C$7:$F$89,4,0),"")</f>
        <v>KNL</v>
      </c>
      <c r="J577" s="92">
        <f t="shared" si="8"/>
        <v>0.5645833333</v>
      </c>
      <c r="K577" s="92">
        <f t="shared" si="1"/>
        <v>0.7388888889</v>
      </c>
      <c r="L577" s="92" t="str">
        <f>IFERROR(VLOOKUP(D577,'Công T5'!$C$7:$F$89,2,0),"")</f>
        <v/>
      </c>
      <c r="M577" s="92" t="str">
        <f>IFERROR(VLOOKUP(D577,'Công T5'!$C$7:$F$89,3,0),"")</f>
        <v/>
      </c>
      <c r="N577" s="92">
        <f t="shared" si="9"/>
        <v>0.5645833333</v>
      </c>
      <c r="O577" s="92">
        <f t="shared" si="2"/>
        <v>0.7083333333</v>
      </c>
      <c r="P577" s="94">
        <f t="shared" si="3"/>
        <v>0</v>
      </c>
      <c r="Q577" s="94">
        <f t="shared" si="4"/>
        <v>0.5</v>
      </c>
      <c r="R577" s="95">
        <f t="shared" si="5"/>
        <v>0.5</v>
      </c>
      <c r="S577" s="95">
        <f t="shared" si="6"/>
        <v>1</v>
      </c>
      <c r="T577" s="95">
        <f t="shared" si="7"/>
        <v>0</v>
      </c>
    </row>
    <row r="578">
      <c r="A578" s="96">
        <v>76.0</v>
      </c>
      <c r="B578" s="97">
        <v>44692.0</v>
      </c>
      <c r="C578" s="96">
        <v>10261.0</v>
      </c>
      <c r="D578" s="98" t="s">
        <v>90</v>
      </c>
      <c r="E578" s="104"/>
      <c r="F578" s="99">
        <v>0.3298611111111111</v>
      </c>
      <c r="G578" s="99">
        <v>0.7534722222222222</v>
      </c>
      <c r="H578" s="101"/>
      <c r="I578" s="92" t="str">
        <f>IFERROR(VLOOKUP(D578,'Công T5'!$C$7:$F$89,4,0),"")</f>
        <v>KNL</v>
      </c>
      <c r="J578" s="92">
        <f t="shared" si="8"/>
        <v>0.3298611111</v>
      </c>
      <c r="K578" s="92">
        <f t="shared" si="1"/>
        <v>0.7534722222</v>
      </c>
      <c r="L578" s="92" t="str">
        <f>IFERROR(VLOOKUP(D578,'Công T5'!$C$7:$F$89,2,0),"")</f>
        <v/>
      </c>
      <c r="M578" s="92" t="str">
        <f>IFERROR(VLOOKUP(D578,'Công T5'!$C$7:$F$89,3,0),"")</f>
        <v/>
      </c>
      <c r="N578" s="92">
        <f t="shared" si="9"/>
        <v>0.3333333333</v>
      </c>
      <c r="O578" s="92">
        <f t="shared" si="2"/>
        <v>0.7083333333</v>
      </c>
      <c r="P578" s="94">
        <f t="shared" si="3"/>
        <v>0.5</v>
      </c>
      <c r="Q578" s="94">
        <f t="shared" si="4"/>
        <v>0.5</v>
      </c>
      <c r="R578" s="95">
        <f t="shared" si="5"/>
        <v>1</v>
      </c>
      <c r="S578" s="95">
        <f t="shared" si="6"/>
        <v>0</v>
      </c>
      <c r="T578" s="95">
        <f t="shared" si="7"/>
        <v>0</v>
      </c>
    </row>
    <row r="579">
      <c r="A579" s="96">
        <v>77.0</v>
      </c>
      <c r="B579" s="97">
        <v>44693.0</v>
      </c>
      <c r="C579" s="96">
        <v>10261.0</v>
      </c>
      <c r="D579" s="98" t="s">
        <v>90</v>
      </c>
      <c r="E579" s="104"/>
      <c r="F579" s="99">
        <v>0.32569444444444445</v>
      </c>
      <c r="G579" s="99">
        <v>0.7194444444444444</v>
      </c>
      <c r="H579" s="101"/>
      <c r="I579" s="92" t="str">
        <f>IFERROR(VLOOKUP(D579,'Công T5'!$C$7:$F$89,4,0),"")</f>
        <v>KNL</v>
      </c>
      <c r="J579" s="92">
        <f t="shared" si="8"/>
        <v>0.3256944444</v>
      </c>
      <c r="K579" s="92">
        <f t="shared" si="1"/>
        <v>0.7194444444</v>
      </c>
      <c r="L579" s="92" t="str">
        <f>IFERROR(VLOOKUP(D579,'Công T5'!$C$7:$F$89,2,0),"")</f>
        <v/>
      </c>
      <c r="M579" s="92" t="str">
        <f>IFERROR(VLOOKUP(D579,'Công T5'!$C$7:$F$89,3,0),"")</f>
        <v/>
      </c>
      <c r="N579" s="92">
        <f t="shared" si="9"/>
        <v>0.3333333333</v>
      </c>
      <c r="O579" s="92">
        <f t="shared" si="2"/>
        <v>0.7083333333</v>
      </c>
      <c r="P579" s="94">
        <f t="shared" si="3"/>
        <v>0.5</v>
      </c>
      <c r="Q579" s="94">
        <f t="shared" si="4"/>
        <v>0.5</v>
      </c>
      <c r="R579" s="95">
        <f t="shared" si="5"/>
        <v>1</v>
      </c>
      <c r="S579" s="95">
        <f t="shared" si="6"/>
        <v>0</v>
      </c>
      <c r="T579" s="95">
        <f t="shared" si="7"/>
        <v>0</v>
      </c>
    </row>
    <row r="580">
      <c r="A580" s="96">
        <v>78.0</v>
      </c>
      <c r="B580" s="97">
        <v>44694.0</v>
      </c>
      <c r="C580" s="96">
        <v>10261.0</v>
      </c>
      <c r="D580" s="98" t="s">
        <v>90</v>
      </c>
      <c r="E580" s="104"/>
      <c r="F580" s="99">
        <v>0.3298611111111111</v>
      </c>
      <c r="G580" s="99">
        <v>0.7361111111111112</v>
      </c>
      <c r="H580" s="101"/>
      <c r="I580" s="92" t="str">
        <f>IFERROR(VLOOKUP(D580,'Công T5'!$C$7:$F$89,4,0),"")</f>
        <v>KNL</v>
      </c>
      <c r="J580" s="92">
        <f t="shared" si="8"/>
        <v>0.3298611111</v>
      </c>
      <c r="K580" s="92">
        <f t="shared" si="1"/>
        <v>0.7361111111</v>
      </c>
      <c r="L580" s="92" t="str">
        <f>IFERROR(VLOOKUP(D580,'Công T5'!$C$7:$F$89,2,0),"")</f>
        <v/>
      </c>
      <c r="M580" s="92" t="str">
        <f>IFERROR(VLOOKUP(D580,'Công T5'!$C$7:$F$89,3,0),"")</f>
        <v/>
      </c>
      <c r="N580" s="92">
        <f t="shared" si="9"/>
        <v>0.3333333333</v>
      </c>
      <c r="O580" s="92">
        <f t="shared" si="2"/>
        <v>0.7083333333</v>
      </c>
      <c r="P580" s="94">
        <f t="shared" si="3"/>
        <v>0.5</v>
      </c>
      <c r="Q580" s="94">
        <f t="shared" si="4"/>
        <v>0.5</v>
      </c>
      <c r="R580" s="95">
        <f t="shared" si="5"/>
        <v>1</v>
      </c>
      <c r="S580" s="95">
        <f t="shared" si="6"/>
        <v>0</v>
      </c>
      <c r="T580" s="95">
        <f t="shared" si="7"/>
        <v>0</v>
      </c>
    </row>
    <row r="581">
      <c r="A581" s="96">
        <v>79.0</v>
      </c>
      <c r="B581" s="103">
        <v>44697.0</v>
      </c>
      <c r="C581" s="96">
        <v>10261.0</v>
      </c>
      <c r="D581" s="98" t="s">
        <v>90</v>
      </c>
      <c r="E581" s="104"/>
      <c r="F581" s="99">
        <v>0.3236111111111111</v>
      </c>
      <c r="G581" s="99">
        <v>0.7479166666666667</v>
      </c>
      <c r="H581" s="101"/>
      <c r="I581" s="92" t="str">
        <f>IFERROR(VLOOKUP(D581,'Công T5'!$C$7:$F$89,4,0),"")</f>
        <v>KNL</v>
      </c>
      <c r="J581" s="92">
        <f t="shared" si="8"/>
        <v>0.3236111111</v>
      </c>
      <c r="K581" s="92">
        <f t="shared" si="1"/>
        <v>0.7479166667</v>
      </c>
      <c r="L581" s="92" t="str">
        <f>IFERROR(VLOOKUP(D581,'Công T5'!$C$7:$F$89,2,0),"")</f>
        <v/>
      </c>
      <c r="M581" s="92" t="str">
        <f>IFERROR(VLOOKUP(D581,'Công T5'!$C$7:$F$89,3,0),"")</f>
        <v/>
      </c>
      <c r="N581" s="92">
        <f t="shared" si="9"/>
        <v>0.3333333333</v>
      </c>
      <c r="O581" s="92">
        <f t="shared" si="2"/>
        <v>0.7083333333</v>
      </c>
      <c r="P581" s="94">
        <f t="shared" si="3"/>
        <v>0.5</v>
      </c>
      <c r="Q581" s="94">
        <f t="shared" si="4"/>
        <v>0.5</v>
      </c>
      <c r="R581" s="95">
        <f t="shared" si="5"/>
        <v>1</v>
      </c>
      <c r="S581" s="95">
        <f t="shared" si="6"/>
        <v>0</v>
      </c>
      <c r="T581" s="95">
        <f t="shared" si="7"/>
        <v>0</v>
      </c>
    </row>
    <row r="582">
      <c r="A582" s="96">
        <v>80.0</v>
      </c>
      <c r="B582" s="97">
        <v>44698.0</v>
      </c>
      <c r="C582" s="96">
        <v>10261.0</v>
      </c>
      <c r="D582" s="98" t="s">
        <v>90</v>
      </c>
      <c r="E582" s="104"/>
      <c r="F582" s="99">
        <v>0.32569444444444445</v>
      </c>
      <c r="G582" s="99">
        <v>0.7284722222222222</v>
      </c>
      <c r="H582" s="101"/>
      <c r="I582" s="92" t="str">
        <f>IFERROR(VLOOKUP(D582,'Công T5'!$C$7:$F$89,4,0),"")</f>
        <v>KNL</v>
      </c>
      <c r="J582" s="92">
        <f t="shared" si="8"/>
        <v>0.3256944444</v>
      </c>
      <c r="K582" s="92">
        <f t="shared" si="1"/>
        <v>0.7284722222</v>
      </c>
      <c r="L582" s="92" t="str">
        <f>IFERROR(VLOOKUP(D582,'Công T5'!$C$7:$F$89,2,0),"")</f>
        <v/>
      </c>
      <c r="M582" s="92" t="str">
        <f>IFERROR(VLOOKUP(D582,'Công T5'!$C$7:$F$89,3,0),"")</f>
        <v/>
      </c>
      <c r="N582" s="92">
        <f t="shared" si="9"/>
        <v>0.3333333333</v>
      </c>
      <c r="O582" s="92">
        <f t="shared" si="2"/>
        <v>0.7083333333</v>
      </c>
      <c r="P582" s="94">
        <f t="shared" si="3"/>
        <v>0.5</v>
      </c>
      <c r="Q582" s="94">
        <f t="shared" si="4"/>
        <v>0.5</v>
      </c>
      <c r="R582" s="95">
        <f t="shared" si="5"/>
        <v>1</v>
      </c>
      <c r="S582" s="95">
        <f t="shared" si="6"/>
        <v>0</v>
      </c>
      <c r="T582" s="95">
        <f t="shared" si="7"/>
        <v>0</v>
      </c>
    </row>
    <row r="583">
      <c r="A583" s="96">
        <v>81.0</v>
      </c>
      <c r="B583" s="103">
        <v>44701.0</v>
      </c>
      <c r="C583" s="96">
        <v>10261.0</v>
      </c>
      <c r="D583" s="98" t="s">
        <v>90</v>
      </c>
      <c r="E583" s="104"/>
      <c r="F583" s="99">
        <v>0.32916666666666666</v>
      </c>
      <c r="G583" s="99">
        <v>0.7340277777777777</v>
      </c>
      <c r="H583" s="101"/>
      <c r="I583" s="92" t="str">
        <f>IFERROR(VLOOKUP(D583,'Công T5'!$C$7:$F$89,4,0),"")</f>
        <v>KNL</v>
      </c>
      <c r="J583" s="92">
        <f t="shared" si="8"/>
        <v>0.3291666667</v>
      </c>
      <c r="K583" s="92">
        <f t="shared" si="1"/>
        <v>0.7340277778</v>
      </c>
      <c r="L583" s="92" t="str">
        <f>IFERROR(VLOOKUP(D583,'Công T5'!$C$7:$F$89,2,0),"")</f>
        <v/>
      </c>
      <c r="M583" s="92" t="str">
        <f>IFERROR(VLOOKUP(D583,'Công T5'!$C$7:$F$89,3,0),"")</f>
        <v/>
      </c>
      <c r="N583" s="92">
        <f t="shared" si="9"/>
        <v>0.3333333333</v>
      </c>
      <c r="O583" s="92">
        <f t="shared" si="2"/>
        <v>0.7083333333</v>
      </c>
      <c r="P583" s="94">
        <f t="shared" si="3"/>
        <v>0.5</v>
      </c>
      <c r="Q583" s="94">
        <f t="shared" si="4"/>
        <v>0.5</v>
      </c>
      <c r="R583" s="95">
        <f t="shared" si="5"/>
        <v>1</v>
      </c>
      <c r="S583" s="95">
        <f t="shared" si="6"/>
        <v>0</v>
      </c>
      <c r="T583" s="95">
        <f t="shared" si="7"/>
        <v>0</v>
      </c>
    </row>
    <row r="584">
      <c r="A584" s="96">
        <v>82.0</v>
      </c>
      <c r="B584" s="97">
        <v>44702.0</v>
      </c>
      <c r="C584" s="96">
        <v>10261.0</v>
      </c>
      <c r="D584" s="98" t="s">
        <v>90</v>
      </c>
      <c r="E584" s="104"/>
      <c r="F584" s="99">
        <v>0.3458333333333333</v>
      </c>
      <c r="G584" s="99">
        <v>0.7215277777777778</v>
      </c>
      <c r="H584" s="101"/>
      <c r="I584" s="92" t="str">
        <f>IFERROR(VLOOKUP(D584,'Công T5'!$C$7:$F$89,4,0),"")</f>
        <v>KNL</v>
      </c>
      <c r="J584" s="92">
        <f t="shared" si="8"/>
        <v>0.3458333333</v>
      </c>
      <c r="K584" s="92">
        <f t="shared" si="1"/>
        <v>0.7215277778</v>
      </c>
      <c r="L584" s="92" t="str">
        <f>IFERROR(VLOOKUP(D584,'Công T5'!$C$7:$F$89,2,0),"")</f>
        <v/>
      </c>
      <c r="M584" s="92" t="str">
        <f>IFERROR(VLOOKUP(D584,'Công T5'!$C$7:$F$89,3,0),"")</f>
        <v/>
      </c>
      <c r="N584" s="92">
        <f t="shared" si="9"/>
        <v>0.3333333333</v>
      </c>
      <c r="O584" s="92">
        <f t="shared" si="2"/>
        <v>0.7083333333</v>
      </c>
      <c r="P584" s="94">
        <f t="shared" si="3"/>
        <v>0.5</v>
      </c>
      <c r="Q584" s="94">
        <f t="shared" si="4"/>
        <v>0.5</v>
      </c>
      <c r="R584" s="95">
        <f t="shared" si="5"/>
        <v>1</v>
      </c>
      <c r="S584" s="95">
        <f t="shared" si="6"/>
        <v>1</v>
      </c>
      <c r="T584" s="95">
        <f t="shared" si="7"/>
        <v>0</v>
      </c>
    </row>
    <row r="585">
      <c r="A585" s="96">
        <v>83.0</v>
      </c>
      <c r="B585" s="103">
        <v>44704.0</v>
      </c>
      <c r="C585" s="96">
        <v>10261.0</v>
      </c>
      <c r="D585" s="98" t="s">
        <v>90</v>
      </c>
      <c r="E585" s="104"/>
      <c r="F585" s="99">
        <v>0.3451388888888889</v>
      </c>
      <c r="G585" s="99">
        <v>0.7534722222222222</v>
      </c>
      <c r="H585" s="101"/>
      <c r="I585" s="92" t="str">
        <f>IFERROR(VLOOKUP(D585,'Công T5'!$C$7:$F$89,4,0),"")</f>
        <v>KNL</v>
      </c>
      <c r="J585" s="92">
        <f t="shared" si="8"/>
        <v>0.3451388889</v>
      </c>
      <c r="K585" s="92">
        <f t="shared" si="1"/>
        <v>0.7534722222</v>
      </c>
      <c r="L585" s="92" t="str">
        <f>IFERROR(VLOOKUP(D585,'Công T5'!$C$7:$F$89,2,0),"")</f>
        <v/>
      </c>
      <c r="M585" s="92" t="str">
        <f>IFERROR(VLOOKUP(D585,'Công T5'!$C$7:$F$89,3,0),"")</f>
        <v/>
      </c>
      <c r="N585" s="92">
        <f t="shared" si="9"/>
        <v>0.3333333333</v>
      </c>
      <c r="O585" s="92">
        <f t="shared" si="2"/>
        <v>0.7083333333</v>
      </c>
      <c r="P585" s="94">
        <f t="shared" si="3"/>
        <v>0.5</v>
      </c>
      <c r="Q585" s="94">
        <f t="shared" si="4"/>
        <v>0.5</v>
      </c>
      <c r="R585" s="95">
        <f t="shared" si="5"/>
        <v>1</v>
      </c>
      <c r="S585" s="95">
        <f t="shared" si="6"/>
        <v>1</v>
      </c>
      <c r="T585" s="95">
        <f t="shared" si="7"/>
        <v>0</v>
      </c>
    </row>
    <row r="586">
      <c r="A586" s="96">
        <v>84.0</v>
      </c>
      <c r="B586" s="97">
        <v>44705.0</v>
      </c>
      <c r="C586" s="96">
        <v>10261.0</v>
      </c>
      <c r="D586" s="98" t="s">
        <v>90</v>
      </c>
      <c r="E586" s="104"/>
      <c r="F586" s="99">
        <v>0.3451388888888889</v>
      </c>
      <c r="G586" s="99">
        <v>0.7340277777777777</v>
      </c>
      <c r="H586" s="101"/>
      <c r="I586" s="92" t="str">
        <f>IFERROR(VLOOKUP(D586,'Công T5'!$C$7:$F$89,4,0),"")</f>
        <v>KNL</v>
      </c>
      <c r="J586" s="92">
        <f t="shared" si="8"/>
        <v>0.3451388889</v>
      </c>
      <c r="K586" s="92">
        <f t="shared" si="1"/>
        <v>0.7340277778</v>
      </c>
      <c r="L586" s="92" t="str">
        <f>IFERROR(VLOOKUP(D586,'Công T5'!$C$7:$F$89,2,0),"")</f>
        <v/>
      </c>
      <c r="M586" s="92" t="str">
        <f>IFERROR(VLOOKUP(D586,'Công T5'!$C$7:$F$89,3,0),"")</f>
        <v/>
      </c>
      <c r="N586" s="92">
        <f t="shared" si="9"/>
        <v>0.3333333333</v>
      </c>
      <c r="O586" s="92">
        <f t="shared" si="2"/>
        <v>0.7083333333</v>
      </c>
      <c r="P586" s="94">
        <f t="shared" si="3"/>
        <v>0.5</v>
      </c>
      <c r="Q586" s="94">
        <f t="shared" si="4"/>
        <v>0.5</v>
      </c>
      <c r="R586" s="95">
        <f t="shared" si="5"/>
        <v>1</v>
      </c>
      <c r="S586" s="95">
        <f t="shared" si="6"/>
        <v>1</v>
      </c>
      <c r="T586" s="95">
        <f t="shared" si="7"/>
        <v>0</v>
      </c>
    </row>
    <row r="587">
      <c r="A587" s="96">
        <v>85.0</v>
      </c>
      <c r="B587" s="97">
        <v>44706.0</v>
      </c>
      <c r="C587" s="96">
        <v>10261.0</v>
      </c>
      <c r="D587" s="98" t="s">
        <v>90</v>
      </c>
      <c r="E587" s="104"/>
      <c r="F587" s="99">
        <v>0.3347222222222222</v>
      </c>
      <c r="G587" s="99">
        <v>0.7354166666666667</v>
      </c>
      <c r="H587" s="101"/>
      <c r="I587" s="92" t="str">
        <f>IFERROR(VLOOKUP(D587,'Công T5'!$C$7:$F$89,4,0),"")</f>
        <v>KNL</v>
      </c>
      <c r="J587" s="92">
        <f t="shared" si="8"/>
        <v>0.3347222222</v>
      </c>
      <c r="K587" s="92">
        <f t="shared" si="1"/>
        <v>0.7354166667</v>
      </c>
      <c r="L587" s="92" t="str">
        <f>IFERROR(VLOOKUP(D587,'Công T5'!$C$7:$F$89,2,0),"")</f>
        <v/>
      </c>
      <c r="M587" s="92" t="str">
        <f>IFERROR(VLOOKUP(D587,'Công T5'!$C$7:$F$89,3,0),"")</f>
        <v/>
      </c>
      <c r="N587" s="92">
        <f t="shared" si="9"/>
        <v>0.3333333333</v>
      </c>
      <c r="O587" s="92">
        <f t="shared" si="2"/>
        <v>0.7083333333</v>
      </c>
      <c r="P587" s="94">
        <f t="shared" si="3"/>
        <v>0.5</v>
      </c>
      <c r="Q587" s="94">
        <f t="shared" si="4"/>
        <v>0.5</v>
      </c>
      <c r="R587" s="95">
        <f t="shared" si="5"/>
        <v>1</v>
      </c>
      <c r="S587" s="95">
        <f t="shared" si="6"/>
        <v>1</v>
      </c>
      <c r="T587" s="95">
        <f t="shared" si="7"/>
        <v>0</v>
      </c>
    </row>
    <row r="588">
      <c r="A588" s="96">
        <v>86.0</v>
      </c>
      <c r="B588" s="97">
        <v>44677.0</v>
      </c>
      <c r="C588" s="96">
        <v>10216.0</v>
      </c>
      <c r="D588" s="98" t="s">
        <v>104</v>
      </c>
      <c r="E588" s="104"/>
      <c r="F588" s="99">
        <v>0.3798611111111111</v>
      </c>
      <c r="G588" s="99">
        <v>0.7145833333333333</v>
      </c>
      <c r="H588" s="101"/>
      <c r="I588" s="92" t="str">
        <f>IFERROR(VLOOKUP(D588,'Công T5'!$C$7:$F$89,4,0),"")</f>
        <v>NL</v>
      </c>
      <c r="J588" s="92">
        <f t="shared" si="8"/>
        <v>0.3798611111</v>
      </c>
      <c r="K588" s="92">
        <f t="shared" si="1"/>
        <v>0.7145833333</v>
      </c>
      <c r="L588" s="92" t="str">
        <f>IFERROR(VLOOKUP(D588,'Công T5'!$C$7:$F$89,2,0),"")</f>
        <v/>
      </c>
      <c r="M588" s="92" t="str">
        <f>IFERROR(VLOOKUP(D588,'Công T5'!$C$7:$F$89,3,0),"")</f>
        <v/>
      </c>
      <c r="N588" s="92">
        <f t="shared" si="9"/>
        <v>0.3798611111</v>
      </c>
      <c r="O588" s="92">
        <f t="shared" si="2"/>
        <v>0.7083333333</v>
      </c>
      <c r="P588" s="94">
        <f t="shared" si="3"/>
        <v>0.3604166667</v>
      </c>
      <c r="Q588" s="94">
        <f t="shared" si="4"/>
        <v>0.5</v>
      </c>
      <c r="R588" s="95">
        <f t="shared" si="5"/>
        <v>0.8604166667</v>
      </c>
      <c r="S588" s="95">
        <f t="shared" si="6"/>
        <v>0</v>
      </c>
      <c r="T588" s="95">
        <f t="shared" si="7"/>
        <v>0</v>
      </c>
    </row>
    <row r="589">
      <c r="A589" s="96">
        <v>87.0</v>
      </c>
      <c r="B589" s="97">
        <v>44678.0</v>
      </c>
      <c r="C589" s="96">
        <v>10216.0</v>
      </c>
      <c r="D589" s="98" t="s">
        <v>104</v>
      </c>
      <c r="E589" s="104"/>
      <c r="F589" s="99">
        <v>0.46319444444444446</v>
      </c>
      <c r="G589" s="99">
        <v>0.7173611111111111</v>
      </c>
      <c r="H589" s="101"/>
      <c r="I589" s="92" t="str">
        <f>IFERROR(VLOOKUP(D589,'Công T5'!$C$7:$F$89,4,0),"")</f>
        <v>NL</v>
      </c>
      <c r="J589" s="92">
        <f t="shared" si="8"/>
        <v>0.4631944444</v>
      </c>
      <c r="K589" s="92">
        <f t="shared" si="1"/>
        <v>0.7173611111</v>
      </c>
      <c r="L589" s="92" t="str">
        <f>IFERROR(VLOOKUP(D589,'Công T5'!$C$7:$F$89,2,0),"")</f>
        <v/>
      </c>
      <c r="M589" s="92" t="str">
        <f>IFERROR(VLOOKUP(D589,'Công T5'!$C$7:$F$89,3,0),"")</f>
        <v/>
      </c>
      <c r="N589" s="92">
        <f t="shared" si="9"/>
        <v>0.4631944444</v>
      </c>
      <c r="O589" s="92">
        <f t="shared" si="2"/>
        <v>0.7083333333</v>
      </c>
      <c r="P589" s="94">
        <f t="shared" si="3"/>
        <v>0.1104166667</v>
      </c>
      <c r="Q589" s="94">
        <f t="shared" si="4"/>
        <v>0.5</v>
      </c>
      <c r="R589" s="95">
        <f t="shared" si="5"/>
        <v>0.6104166667</v>
      </c>
      <c r="S589" s="95">
        <f t="shared" si="6"/>
        <v>0</v>
      </c>
      <c r="T589" s="95">
        <f t="shared" si="7"/>
        <v>0</v>
      </c>
    </row>
    <row r="590">
      <c r="A590" s="96">
        <v>88.0</v>
      </c>
      <c r="B590" s="97">
        <v>44679.0</v>
      </c>
      <c r="C590" s="96">
        <v>10216.0</v>
      </c>
      <c r="D590" s="98" t="s">
        <v>104</v>
      </c>
      <c r="E590" s="104"/>
      <c r="F590" s="99">
        <v>0.38680555555555557</v>
      </c>
      <c r="G590" s="99">
        <v>0.7347222222222223</v>
      </c>
      <c r="H590" s="101"/>
      <c r="I590" s="92" t="str">
        <f>IFERROR(VLOOKUP(D590,'Công T5'!$C$7:$F$89,4,0),"")</f>
        <v>NL</v>
      </c>
      <c r="J590" s="92">
        <f t="shared" si="8"/>
        <v>0.3868055556</v>
      </c>
      <c r="K590" s="92">
        <f t="shared" si="1"/>
        <v>0.7347222222</v>
      </c>
      <c r="L590" s="92" t="str">
        <f>IFERROR(VLOOKUP(D590,'Công T5'!$C$7:$F$89,2,0),"")</f>
        <v/>
      </c>
      <c r="M590" s="92" t="str">
        <f>IFERROR(VLOOKUP(D590,'Công T5'!$C$7:$F$89,3,0),"")</f>
        <v/>
      </c>
      <c r="N590" s="92">
        <f t="shared" si="9"/>
        <v>0.3868055556</v>
      </c>
      <c r="O590" s="92">
        <f t="shared" si="2"/>
        <v>0.7083333333</v>
      </c>
      <c r="P590" s="94">
        <f t="shared" si="3"/>
        <v>0.3395833333</v>
      </c>
      <c r="Q590" s="94">
        <f t="shared" si="4"/>
        <v>0.5</v>
      </c>
      <c r="R590" s="95">
        <f t="shared" si="5"/>
        <v>0.8395833333</v>
      </c>
      <c r="S590" s="95">
        <f t="shared" si="6"/>
        <v>0</v>
      </c>
      <c r="T590" s="95">
        <f t="shared" si="7"/>
        <v>0</v>
      </c>
    </row>
    <row r="591">
      <c r="A591" s="96">
        <v>89.0</v>
      </c>
      <c r="B591" s="97">
        <v>44680.0</v>
      </c>
      <c r="C591" s="96">
        <v>10216.0</v>
      </c>
      <c r="D591" s="98" t="s">
        <v>104</v>
      </c>
      <c r="E591" s="104"/>
      <c r="F591" s="99">
        <v>0.45555555555555555</v>
      </c>
      <c r="G591" s="99">
        <v>0.7409722222222223</v>
      </c>
      <c r="H591" s="101"/>
      <c r="I591" s="92" t="str">
        <f>IFERROR(VLOOKUP(D591,'Công T5'!$C$7:$F$89,4,0),"")</f>
        <v>NL</v>
      </c>
      <c r="J591" s="92">
        <f t="shared" si="8"/>
        <v>0.4555555556</v>
      </c>
      <c r="K591" s="92">
        <f t="shared" si="1"/>
        <v>0.7409722222</v>
      </c>
      <c r="L591" s="92" t="str">
        <f>IFERROR(VLOOKUP(D591,'Công T5'!$C$7:$F$89,2,0),"")</f>
        <v/>
      </c>
      <c r="M591" s="92" t="str">
        <f>IFERROR(VLOOKUP(D591,'Công T5'!$C$7:$F$89,3,0),"")</f>
        <v/>
      </c>
      <c r="N591" s="92">
        <f t="shared" si="9"/>
        <v>0.4555555556</v>
      </c>
      <c r="O591" s="92">
        <f t="shared" si="2"/>
        <v>0.7083333333</v>
      </c>
      <c r="P591" s="94">
        <f t="shared" si="3"/>
        <v>0.1333333333</v>
      </c>
      <c r="Q591" s="94">
        <f t="shared" si="4"/>
        <v>0.5</v>
      </c>
      <c r="R591" s="95">
        <f t="shared" si="5"/>
        <v>0.6333333333</v>
      </c>
      <c r="S591" s="95">
        <f t="shared" si="6"/>
        <v>0</v>
      </c>
      <c r="T591" s="95">
        <f t="shared" si="7"/>
        <v>0</v>
      </c>
    </row>
    <row r="592">
      <c r="A592" s="96">
        <v>90.0</v>
      </c>
      <c r="B592" s="103">
        <v>44685.0</v>
      </c>
      <c r="C592" s="96">
        <v>10216.0</v>
      </c>
      <c r="D592" s="98" t="s">
        <v>104</v>
      </c>
      <c r="E592" s="104"/>
      <c r="F592" s="99">
        <v>0.4284722222222222</v>
      </c>
      <c r="G592" s="99">
        <v>0.7118055555555556</v>
      </c>
      <c r="H592" s="101"/>
      <c r="I592" s="92" t="str">
        <f>IFERROR(VLOOKUP(D592,'Công T5'!$C$7:$F$89,4,0),"")</f>
        <v>NL</v>
      </c>
      <c r="J592" s="92">
        <f t="shared" si="8"/>
        <v>0.4284722222</v>
      </c>
      <c r="K592" s="92">
        <f t="shared" si="1"/>
        <v>0.7118055556</v>
      </c>
      <c r="L592" s="92" t="str">
        <f>IFERROR(VLOOKUP(D592,'Công T5'!$C$7:$F$89,2,0),"")</f>
        <v/>
      </c>
      <c r="M592" s="92" t="str">
        <f>IFERROR(VLOOKUP(D592,'Công T5'!$C$7:$F$89,3,0),"")</f>
        <v/>
      </c>
      <c r="N592" s="92">
        <f t="shared" si="9"/>
        <v>0.4284722222</v>
      </c>
      <c r="O592" s="92">
        <f t="shared" si="2"/>
        <v>0.7083333333</v>
      </c>
      <c r="P592" s="94">
        <f t="shared" si="3"/>
        <v>0.2145833333</v>
      </c>
      <c r="Q592" s="94">
        <f t="shared" si="4"/>
        <v>0.5</v>
      </c>
      <c r="R592" s="95">
        <f t="shared" si="5"/>
        <v>0.7145833333</v>
      </c>
      <c r="S592" s="95">
        <f t="shared" si="6"/>
        <v>0</v>
      </c>
      <c r="T592" s="95">
        <f t="shared" si="7"/>
        <v>0</v>
      </c>
    </row>
    <row r="593">
      <c r="A593" s="96">
        <v>91.0</v>
      </c>
      <c r="B593" s="97">
        <v>44686.0</v>
      </c>
      <c r="C593" s="96">
        <v>10216.0</v>
      </c>
      <c r="D593" s="98" t="s">
        <v>104</v>
      </c>
      <c r="E593" s="104"/>
      <c r="F593" s="99">
        <v>0.44583333333333336</v>
      </c>
      <c r="G593" s="99">
        <v>0.7145833333333333</v>
      </c>
      <c r="H593" s="101"/>
      <c r="I593" s="92" t="str">
        <f>IFERROR(VLOOKUP(D593,'Công T5'!$C$7:$F$89,4,0),"")</f>
        <v>NL</v>
      </c>
      <c r="J593" s="92">
        <f t="shared" si="8"/>
        <v>0.4458333333</v>
      </c>
      <c r="K593" s="92">
        <f t="shared" si="1"/>
        <v>0.7513888889</v>
      </c>
      <c r="L593" s="92" t="str">
        <f>IFERROR(VLOOKUP(D593,'Công T5'!$C$7:$F$89,2,0),"")</f>
        <v/>
      </c>
      <c r="M593" s="92" t="str">
        <f>IFERROR(VLOOKUP(D593,'Công T5'!$C$7:$F$89,3,0),"")</f>
        <v/>
      </c>
      <c r="N593" s="92">
        <f t="shared" si="9"/>
        <v>0.4458333333</v>
      </c>
      <c r="O593" s="92">
        <f t="shared" si="2"/>
        <v>0.7083333333</v>
      </c>
      <c r="P593" s="94">
        <f t="shared" si="3"/>
        <v>0.1625</v>
      </c>
      <c r="Q593" s="94">
        <f t="shared" si="4"/>
        <v>0.5</v>
      </c>
      <c r="R593" s="95">
        <f t="shared" si="5"/>
        <v>0.6625</v>
      </c>
      <c r="S593" s="95">
        <f t="shared" si="6"/>
        <v>0</v>
      </c>
      <c r="T593" s="95">
        <f t="shared" si="7"/>
        <v>0</v>
      </c>
    </row>
    <row r="594">
      <c r="A594" s="96">
        <v>92.0</v>
      </c>
      <c r="B594" s="97">
        <v>44686.0</v>
      </c>
      <c r="C594" s="96">
        <v>10216.0</v>
      </c>
      <c r="D594" s="98" t="s">
        <v>104</v>
      </c>
      <c r="E594" s="104"/>
      <c r="F594" s="99">
        <v>0.7513888888888889</v>
      </c>
      <c r="G594" s="102"/>
      <c r="H594" s="101"/>
      <c r="I594" s="92" t="str">
        <f>IFERROR(VLOOKUP(D594,'Công T5'!$C$7:$F$89,4,0),"")</f>
        <v>NL</v>
      </c>
      <c r="J594" s="92">
        <f t="shared" si="8"/>
        <v>0.7513888889</v>
      </c>
      <c r="K594" s="92" t="str">
        <f t="shared" si="1"/>
        <v/>
      </c>
      <c r="L594" s="92" t="str">
        <f>IFERROR(VLOOKUP(D594,'Công T5'!$C$7:$F$89,2,0),"")</f>
        <v/>
      </c>
      <c r="M594" s="92" t="str">
        <f>IFERROR(VLOOKUP(D594,'Công T5'!$C$7:$F$89,3,0),"")</f>
        <v/>
      </c>
      <c r="N594" s="92">
        <f t="shared" si="9"/>
        <v>0.7513888889</v>
      </c>
      <c r="O594" s="92" t="str">
        <f t="shared" si="2"/>
        <v/>
      </c>
      <c r="P594" s="94">
        <f t="shared" si="3"/>
        <v>0</v>
      </c>
      <c r="Q594" s="94" t="str">
        <f t="shared" si="4"/>
        <v/>
      </c>
      <c r="R594" s="95">
        <f t="shared" si="5"/>
        <v>0.5</v>
      </c>
      <c r="S594" s="95" t="str">
        <f t="shared" si="6"/>
        <v/>
      </c>
      <c r="T594" s="95">
        <f t="shared" si="7"/>
        <v>1</v>
      </c>
    </row>
    <row r="595">
      <c r="A595" s="96">
        <v>93.0</v>
      </c>
      <c r="B595" s="97">
        <v>44687.0</v>
      </c>
      <c r="C595" s="96">
        <v>10216.0</v>
      </c>
      <c r="D595" s="98" t="s">
        <v>104</v>
      </c>
      <c r="E595" s="104"/>
      <c r="F595" s="99">
        <v>0.4152777777777778</v>
      </c>
      <c r="G595" s="99">
        <v>0.6208333333333333</v>
      </c>
      <c r="H595" s="101"/>
      <c r="I595" s="92" t="str">
        <f>IFERROR(VLOOKUP(D595,'Công T5'!$C$7:$F$89,4,0),"")</f>
        <v>NL</v>
      </c>
      <c r="J595" s="92">
        <f t="shared" si="8"/>
        <v>0.4152777778</v>
      </c>
      <c r="K595" s="92">
        <f t="shared" si="1"/>
        <v>0.6208333333</v>
      </c>
      <c r="L595" s="92" t="str">
        <f>IFERROR(VLOOKUP(D595,'Công T5'!$C$7:$F$89,2,0),"")</f>
        <v/>
      </c>
      <c r="M595" s="92" t="str">
        <f>IFERROR(VLOOKUP(D595,'Công T5'!$C$7:$F$89,3,0),"")</f>
        <v/>
      </c>
      <c r="N595" s="92">
        <f t="shared" si="9"/>
        <v>0.4152777778</v>
      </c>
      <c r="O595" s="92">
        <f t="shared" si="2"/>
        <v>0.6208333333</v>
      </c>
      <c r="P595" s="94">
        <f t="shared" si="3"/>
        <v>0.2541666667</v>
      </c>
      <c r="Q595" s="94">
        <f t="shared" si="4"/>
        <v>0.2375</v>
      </c>
      <c r="R595" s="95">
        <f t="shared" si="5"/>
        <v>0.4916666667</v>
      </c>
      <c r="S595" s="95">
        <f t="shared" si="6"/>
        <v>0</v>
      </c>
      <c r="T595" s="95">
        <f t="shared" si="7"/>
        <v>0</v>
      </c>
    </row>
    <row r="596">
      <c r="A596" s="96">
        <v>94.0</v>
      </c>
      <c r="B596" s="97">
        <v>44688.0</v>
      </c>
      <c r="C596" s="96">
        <v>10216.0</v>
      </c>
      <c r="D596" s="98" t="s">
        <v>104</v>
      </c>
      <c r="E596" s="104"/>
      <c r="F596" s="99">
        <v>0.42430555555555555</v>
      </c>
      <c r="G596" s="99">
        <v>0.6166666666666667</v>
      </c>
      <c r="H596" s="101"/>
      <c r="I596" s="92" t="str">
        <f>IFERROR(VLOOKUP(D596,'Công T5'!$C$7:$F$89,4,0),"")</f>
        <v>NL</v>
      </c>
      <c r="J596" s="92">
        <f t="shared" si="8"/>
        <v>0.4243055556</v>
      </c>
      <c r="K596" s="92">
        <f t="shared" si="1"/>
        <v>0.6166666667</v>
      </c>
      <c r="L596" s="92" t="str">
        <f>IFERROR(VLOOKUP(D596,'Công T5'!$C$7:$F$89,2,0),"")</f>
        <v/>
      </c>
      <c r="M596" s="92" t="str">
        <f>IFERROR(VLOOKUP(D596,'Công T5'!$C$7:$F$89,3,0),"")</f>
        <v/>
      </c>
      <c r="N596" s="92">
        <f t="shared" si="9"/>
        <v>0.4243055556</v>
      </c>
      <c r="O596" s="92">
        <f t="shared" si="2"/>
        <v>0.6166666667</v>
      </c>
      <c r="P596" s="94">
        <f t="shared" si="3"/>
        <v>0.2270833333</v>
      </c>
      <c r="Q596" s="94">
        <f t="shared" si="4"/>
        <v>0.225</v>
      </c>
      <c r="R596" s="95">
        <f t="shared" si="5"/>
        <v>0.4520833333</v>
      </c>
      <c r="S596" s="95">
        <f t="shared" si="6"/>
        <v>0</v>
      </c>
      <c r="T596" s="95">
        <f t="shared" si="7"/>
        <v>0</v>
      </c>
    </row>
    <row r="597">
      <c r="A597" s="96">
        <v>95.0</v>
      </c>
      <c r="B597" s="97">
        <v>44690.0</v>
      </c>
      <c r="C597" s="96">
        <v>10216.0</v>
      </c>
      <c r="D597" s="98" t="s">
        <v>104</v>
      </c>
      <c r="E597" s="104"/>
      <c r="F597" s="99">
        <v>0.43125</v>
      </c>
      <c r="G597" s="99">
        <v>0.7722222222222223</v>
      </c>
      <c r="H597" s="101"/>
      <c r="I597" s="92" t="str">
        <f>IFERROR(VLOOKUP(D597,'Công T5'!$C$7:$F$89,4,0),"")</f>
        <v>NL</v>
      </c>
      <c r="J597" s="92">
        <f t="shared" si="8"/>
        <v>0.43125</v>
      </c>
      <c r="K597" s="92">
        <f t="shared" si="1"/>
        <v>0.7722222222</v>
      </c>
      <c r="L597" s="92" t="str">
        <f>IFERROR(VLOOKUP(D597,'Công T5'!$C$7:$F$89,2,0),"")</f>
        <v/>
      </c>
      <c r="M597" s="92" t="str">
        <f>IFERROR(VLOOKUP(D597,'Công T5'!$C$7:$F$89,3,0),"")</f>
        <v/>
      </c>
      <c r="N597" s="92">
        <f t="shared" si="9"/>
        <v>0.43125</v>
      </c>
      <c r="O597" s="92">
        <f t="shared" si="2"/>
        <v>0.7083333333</v>
      </c>
      <c r="P597" s="94">
        <f t="shared" si="3"/>
        <v>0.20625</v>
      </c>
      <c r="Q597" s="94">
        <f t="shared" si="4"/>
        <v>0.5</v>
      </c>
      <c r="R597" s="95">
        <f t="shared" si="5"/>
        <v>0.70625</v>
      </c>
      <c r="S597" s="95">
        <f t="shared" si="6"/>
        <v>0</v>
      </c>
      <c r="T597" s="95">
        <f t="shared" si="7"/>
        <v>0</v>
      </c>
    </row>
    <row r="598">
      <c r="A598" s="96">
        <v>96.0</v>
      </c>
      <c r="B598" s="97">
        <v>44691.0</v>
      </c>
      <c r="C598" s="96">
        <v>10216.0</v>
      </c>
      <c r="D598" s="98" t="s">
        <v>104</v>
      </c>
      <c r="E598" s="104"/>
      <c r="F598" s="99">
        <v>0.47638888888888886</v>
      </c>
      <c r="G598" s="99">
        <v>0.7381944444444445</v>
      </c>
      <c r="H598" s="101"/>
      <c r="I598" s="92" t="str">
        <f>IFERROR(VLOOKUP(D598,'Công T5'!$C$7:$F$89,4,0),"")</f>
        <v>NL</v>
      </c>
      <c r="J598" s="92">
        <f t="shared" si="8"/>
        <v>0.4763888889</v>
      </c>
      <c r="K598" s="92">
        <f t="shared" si="1"/>
        <v>0.7381944444</v>
      </c>
      <c r="L598" s="92" t="str">
        <f>IFERROR(VLOOKUP(D598,'Công T5'!$C$7:$F$89,2,0),"")</f>
        <v/>
      </c>
      <c r="M598" s="92" t="str">
        <f>IFERROR(VLOOKUP(D598,'Công T5'!$C$7:$F$89,3,0),"")</f>
        <v/>
      </c>
      <c r="N598" s="92">
        <f t="shared" si="9"/>
        <v>0.4763888889</v>
      </c>
      <c r="O598" s="92">
        <f t="shared" si="2"/>
        <v>0.7083333333</v>
      </c>
      <c r="P598" s="94">
        <f t="shared" si="3"/>
        <v>0.07083333333</v>
      </c>
      <c r="Q598" s="94">
        <f t="shared" si="4"/>
        <v>0.5</v>
      </c>
      <c r="R598" s="95">
        <f t="shared" si="5"/>
        <v>0.5708333333</v>
      </c>
      <c r="S598" s="95">
        <f t="shared" si="6"/>
        <v>0</v>
      </c>
      <c r="T598" s="95">
        <f t="shared" si="7"/>
        <v>0</v>
      </c>
    </row>
    <row r="599">
      <c r="A599" s="96">
        <v>97.0</v>
      </c>
      <c r="B599" s="97">
        <v>44692.0</v>
      </c>
      <c r="C599" s="96">
        <v>10216.0</v>
      </c>
      <c r="D599" s="98" t="s">
        <v>104</v>
      </c>
      <c r="E599" s="104"/>
      <c r="F599" s="99">
        <v>0.41388888888888886</v>
      </c>
      <c r="G599" s="99">
        <v>0.7125</v>
      </c>
      <c r="H599" s="101"/>
      <c r="I599" s="92" t="str">
        <f>IFERROR(VLOOKUP(D599,'Công T5'!$C$7:$F$89,4,0),"")</f>
        <v>NL</v>
      </c>
      <c r="J599" s="92">
        <f t="shared" si="8"/>
        <v>0.4138888889</v>
      </c>
      <c r="K599" s="92">
        <f t="shared" si="1"/>
        <v>0.7125</v>
      </c>
      <c r="L599" s="92" t="str">
        <f>IFERROR(VLOOKUP(D599,'Công T5'!$C$7:$F$89,2,0),"")</f>
        <v/>
      </c>
      <c r="M599" s="92" t="str">
        <f>IFERROR(VLOOKUP(D599,'Công T5'!$C$7:$F$89,3,0),"")</f>
        <v/>
      </c>
      <c r="N599" s="92">
        <f t="shared" si="9"/>
        <v>0.4138888889</v>
      </c>
      <c r="O599" s="92">
        <f t="shared" si="2"/>
        <v>0.7083333333</v>
      </c>
      <c r="P599" s="94">
        <f t="shared" si="3"/>
        <v>0.2583333333</v>
      </c>
      <c r="Q599" s="94">
        <f t="shared" si="4"/>
        <v>0.5</v>
      </c>
      <c r="R599" s="95">
        <f t="shared" si="5"/>
        <v>0.7583333333</v>
      </c>
      <c r="S599" s="95">
        <f t="shared" si="6"/>
        <v>0</v>
      </c>
      <c r="T599" s="95">
        <f t="shared" si="7"/>
        <v>0</v>
      </c>
    </row>
    <row r="600">
      <c r="A600" s="96">
        <v>98.0</v>
      </c>
      <c r="B600" s="97">
        <v>44693.0</v>
      </c>
      <c r="C600" s="96">
        <v>10216.0</v>
      </c>
      <c r="D600" s="98" t="s">
        <v>104</v>
      </c>
      <c r="E600" s="104"/>
      <c r="F600" s="99">
        <v>0.35833333333333334</v>
      </c>
      <c r="G600" s="99">
        <v>0.7291666666666666</v>
      </c>
      <c r="H600" s="101"/>
      <c r="I600" s="92" t="str">
        <f>IFERROR(VLOOKUP(D600,'Công T5'!$C$7:$F$89,4,0),"")</f>
        <v>NL</v>
      </c>
      <c r="J600" s="92">
        <f t="shared" si="8"/>
        <v>0.3583333333</v>
      </c>
      <c r="K600" s="92">
        <f t="shared" si="1"/>
        <v>0.7291666667</v>
      </c>
      <c r="L600" s="92" t="str">
        <f>IFERROR(VLOOKUP(D600,'Công T5'!$C$7:$F$89,2,0),"")</f>
        <v/>
      </c>
      <c r="M600" s="92" t="str">
        <f>IFERROR(VLOOKUP(D600,'Công T5'!$C$7:$F$89,3,0),"")</f>
        <v/>
      </c>
      <c r="N600" s="92">
        <f t="shared" si="9"/>
        <v>0.3583333333</v>
      </c>
      <c r="O600" s="92">
        <f t="shared" si="2"/>
        <v>0.7083333333</v>
      </c>
      <c r="P600" s="94">
        <f t="shared" si="3"/>
        <v>0.425</v>
      </c>
      <c r="Q600" s="94">
        <f t="shared" si="4"/>
        <v>0.5</v>
      </c>
      <c r="R600" s="95">
        <f t="shared" si="5"/>
        <v>0.925</v>
      </c>
      <c r="S600" s="95">
        <f t="shared" si="6"/>
        <v>0</v>
      </c>
      <c r="T600" s="95">
        <f t="shared" si="7"/>
        <v>0</v>
      </c>
    </row>
    <row r="601">
      <c r="A601" s="96">
        <v>99.0</v>
      </c>
      <c r="B601" s="97">
        <v>44694.0</v>
      </c>
      <c r="C601" s="96">
        <v>10216.0</v>
      </c>
      <c r="D601" s="98" t="s">
        <v>104</v>
      </c>
      <c r="E601" s="104"/>
      <c r="F601" s="99">
        <v>0.3770833333333333</v>
      </c>
      <c r="G601" s="99">
        <v>0.7340277777777777</v>
      </c>
      <c r="H601" s="101"/>
      <c r="I601" s="92" t="str">
        <f>IFERROR(VLOOKUP(D601,'Công T5'!$C$7:$F$89,4,0),"")</f>
        <v>NL</v>
      </c>
      <c r="J601" s="92">
        <f t="shared" si="8"/>
        <v>0.3770833333</v>
      </c>
      <c r="K601" s="92">
        <f t="shared" si="1"/>
        <v>0.7340277778</v>
      </c>
      <c r="L601" s="92" t="str">
        <f>IFERROR(VLOOKUP(D601,'Công T5'!$C$7:$F$89,2,0),"")</f>
        <v/>
      </c>
      <c r="M601" s="92" t="str">
        <f>IFERROR(VLOOKUP(D601,'Công T5'!$C$7:$F$89,3,0),"")</f>
        <v/>
      </c>
      <c r="N601" s="92">
        <f t="shared" si="9"/>
        <v>0.3770833333</v>
      </c>
      <c r="O601" s="92">
        <f t="shared" si="2"/>
        <v>0.7083333333</v>
      </c>
      <c r="P601" s="94">
        <f t="shared" si="3"/>
        <v>0.36875</v>
      </c>
      <c r="Q601" s="94">
        <f t="shared" si="4"/>
        <v>0.5</v>
      </c>
      <c r="R601" s="95">
        <f t="shared" si="5"/>
        <v>0.86875</v>
      </c>
      <c r="S601" s="95">
        <f t="shared" si="6"/>
        <v>0</v>
      </c>
      <c r="T601" s="95">
        <f t="shared" si="7"/>
        <v>0</v>
      </c>
    </row>
    <row r="602">
      <c r="A602" s="96">
        <v>100.0</v>
      </c>
      <c r="B602" s="97">
        <v>44697.0</v>
      </c>
      <c r="C602" s="96">
        <v>10216.0</v>
      </c>
      <c r="D602" s="98" t="s">
        <v>104</v>
      </c>
      <c r="E602" s="104"/>
      <c r="F602" s="99">
        <v>0.3333333333333333</v>
      </c>
      <c r="G602" s="99">
        <v>0.7131944444444445</v>
      </c>
      <c r="H602" s="101"/>
      <c r="I602" s="92" t="str">
        <f>IFERROR(VLOOKUP(D602,'Công T5'!$C$7:$F$89,4,0),"")</f>
        <v>NL</v>
      </c>
      <c r="J602" s="92">
        <f t="shared" si="8"/>
        <v>0.3333333333</v>
      </c>
      <c r="K602" s="92">
        <f t="shared" si="1"/>
        <v>0.7555555556</v>
      </c>
      <c r="L602" s="92" t="str">
        <f>IFERROR(VLOOKUP(D602,'Công T5'!$C$7:$F$89,2,0),"")</f>
        <v/>
      </c>
      <c r="M602" s="92" t="str">
        <f>IFERROR(VLOOKUP(D602,'Công T5'!$C$7:$F$89,3,0),"")</f>
        <v/>
      </c>
      <c r="N602" s="92">
        <f t="shared" si="9"/>
        <v>0.3333333333</v>
      </c>
      <c r="O602" s="92">
        <f t="shared" si="2"/>
        <v>0.7083333333</v>
      </c>
      <c r="P602" s="94">
        <f t="shared" si="3"/>
        <v>0.5</v>
      </c>
      <c r="Q602" s="94">
        <f t="shared" si="4"/>
        <v>0.5</v>
      </c>
      <c r="R602" s="95">
        <f t="shared" si="5"/>
        <v>1</v>
      </c>
      <c r="S602" s="95">
        <f t="shared" si="6"/>
        <v>0</v>
      </c>
      <c r="T602" s="95">
        <f t="shared" si="7"/>
        <v>0</v>
      </c>
    </row>
    <row r="603">
      <c r="A603" s="96">
        <v>101.0</v>
      </c>
      <c r="B603" s="97">
        <v>44697.0</v>
      </c>
      <c r="C603" s="96">
        <v>10216.0</v>
      </c>
      <c r="D603" s="98" t="s">
        <v>104</v>
      </c>
      <c r="E603" s="104"/>
      <c r="F603" s="99">
        <v>0.7555555555555555</v>
      </c>
      <c r="G603" s="102"/>
      <c r="H603" s="101"/>
      <c r="I603" s="92" t="str">
        <f>IFERROR(VLOOKUP(D603,'Công T5'!$C$7:$F$89,4,0),"")</f>
        <v>NL</v>
      </c>
      <c r="J603" s="92">
        <f t="shared" si="8"/>
        <v>0.7555555556</v>
      </c>
      <c r="K603" s="92" t="str">
        <f t="shared" si="1"/>
        <v/>
      </c>
      <c r="L603" s="92" t="str">
        <f>IFERROR(VLOOKUP(D603,'Công T5'!$C$7:$F$89,2,0),"")</f>
        <v/>
      </c>
      <c r="M603" s="92" t="str">
        <f>IFERROR(VLOOKUP(D603,'Công T5'!$C$7:$F$89,3,0),"")</f>
        <v/>
      </c>
      <c r="N603" s="92">
        <f t="shared" si="9"/>
        <v>0.7555555556</v>
      </c>
      <c r="O603" s="92" t="str">
        <f t="shared" si="2"/>
        <v/>
      </c>
      <c r="P603" s="94">
        <f t="shared" si="3"/>
        <v>0</v>
      </c>
      <c r="Q603" s="94" t="str">
        <f t="shared" si="4"/>
        <v/>
      </c>
      <c r="R603" s="95">
        <f t="shared" si="5"/>
        <v>0.5</v>
      </c>
      <c r="S603" s="95" t="str">
        <f t="shared" si="6"/>
        <v/>
      </c>
      <c r="T603" s="95">
        <f t="shared" si="7"/>
        <v>1</v>
      </c>
    </row>
    <row r="604">
      <c r="A604" s="96">
        <v>102.0</v>
      </c>
      <c r="B604" s="103">
        <v>44698.0</v>
      </c>
      <c r="C604" s="96">
        <v>10216.0</v>
      </c>
      <c r="D604" s="98" t="s">
        <v>104</v>
      </c>
      <c r="E604" s="104"/>
      <c r="F604" s="99">
        <v>0.4097222222222222</v>
      </c>
      <c r="G604" s="99">
        <v>0.7083333333333334</v>
      </c>
      <c r="H604" s="101"/>
      <c r="I604" s="92" t="str">
        <f>IFERROR(VLOOKUP(D604,'Công T5'!$C$7:$F$89,4,0),"")</f>
        <v>NL</v>
      </c>
      <c r="J604" s="92">
        <f t="shared" si="8"/>
        <v>0.4097222222</v>
      </c>
      <c r="K604" s="92">
        <f t="shared" si="1"/>
        <v>0.7083333333</v>
      </c>
      <c r="L604" s="92" t="str">
        <f>IFERROR(VLOOKUP(D604,'Công T5'!$C$7:$F$89,2,0),"")</f>
        <v/>
      </c>
      <c r="M604" s="92" t="str">
        <f>IFERROR(VLOOKUP(D604,'Công T5'!$C$7:$F$89,3,0),"")</f>
        <v/>
      </c>
      <c r="N604" s="92">
        <f t="shared" si="9"/>
        <v>0.4097222222</v>
      </c>
      <c r="O604" s="92">
        <f t="shared" si="2"/>
        <v>0.7083333333</v>
      </c>
      <c r="P604" s="94">
        <f t="shared" si="3"/>
        <v>0.2708333333</v>
      </c>
      <c r="Q604" s="94">
        <f t="shared" si="4"/>
        <v>0.5</v>
      </c>
      <c r="R604" s="95">
        <f t="shared" si="5"/>
        <v>0.7708333333</v>
      </c>
      <c r="S604" s="95">
        <f t="shared" si="6"/>
        <v>0</v>
      </c>
      <c r="T604" s="95">
        <f t="shared" si="7"/>
        <v>0</v>
      </c>
    </row>
    <row r="605">
      <c r="A605" s="96">
        <v>103.0</v>
      </c>
      <c r="B605" s="103">
        <v>44699.0</v>
      </c>
      <c r="C605" s="96">
        <v>10216.0</v>
      </c>
      <c r="D605" s="98" t="s">
        <v>104</v>
      </c>
      <c r="E605" s="104"/>
      <c r="F605" s="99">
        <v>0.36041666666666666</v>
      </c>
      <c r="G605" s="99">
        <v>0.75</v>
      </c>
      <c r="H605" s="101"/>
      <c r="I605" s="92" t="str">
        <f>IFERROR(VLOOKUP(D605,'Công T5'!$C$7:$F$89,4,0),"")</f>
        <v>NL</v>
      </c>
      <c r="J605" s="92">
        <f t="shared" si="8"/>
        <v>0.3604166667</v>
      </c>
      <c r="K605" s="92">
        <f t="shared" si="1"/>
        <v>0.75</v>
      </c>
      <c r="L605" s="92" t="str">
        <f>IFERROR(VLOOKUP(D605,'Công T5'!$C$7:$F$89,2,0),"")</f>
        <v/>
      </c>
      <c r="M605" s="92" t="str">
        <f>IFERROR(VLOOKUP(D605,'Công T5'!$C$7:$F$89,3,0),"")</f>
        <v/>
      </c>
      <c r="N605" s="92">
        <f t="shared" si="9"/>
        <v>0.3604166667</v>
      </c>
      <c r="O605" s="92">
        <f t="shared" si="2"/>
        <v>0.7083333333</v>
      </c>
      <c r="P605" s="94">
        <f t="shared" si="3"/>
        <v>0.41875</v>
      </c>
      <c r="Q605" s="94">
        <f t="shared" si="4"/>
        <v>0.5</v>
      </c>
      <c r="R605" s="95">
        <f t="shared" si="5"/>
        <v>0.91875</v>
      </c>
      <c r="S605" s="95">
        <f t="shared" si="6"/>
        <v>0</v>
      </c>
      <c r="T605" s="95">
        <f t="shared" si="7"/>
        <v>0</v>
      </c>
    </row>
    <row r="606">
      <c r="A606" s="96">
        <v>104.0</v>
      </c>
      <c r="B606" s="103">
        <v>44700.0</v>
      </c>
      <c r="C606" s="96">
        <v>10216.0</v>
      </c>
      <c r="D606" s="98" t="s">
        <v>104</v>
      </c>
      <c r="E606" s="104"/>
      <c r="F606" s="99">
        <v>0.3423611111111111</v>
      </c>
      <c r="G606" s="99">
        <v>0.7020833333333333</v>
      </c>
      <c r="H606" s="101"/>
      <c r="I606" s="92" t="str">
        <f>IFERROR(VLOOKUP(D606,'Công T5'!$C$7:$F$89,4,0),"")</f>
        <v>NL</v>
      </c>
      <c r="J606" s="92">
        <f t="shared" si="8"/>
        <v>0.3423611111</v>
      </c>
      <c r="K606" s="92">
        <f t="shared" si="1"/>
        <v>0.7020833333</v>
      </c>
      <c r="L606" s="92" t="str">
        <f>IFERROR(VLOOKUP(D606,'Công T5'!$C$7:$F$89,2,0),"")</f>
        <v/>
      </c>
      <c r="M606" s="92" t="str">
        <f>IFERROR(VLOOKUP(D606,'Công T5'!$C$7:$F$89,3,0),"")</f>
        <v/>
      </c>
      <c r="N606" s="92">
        <f t="shared" si="9"/>
        <v>0.3333333333</v>
      </c>
      <c r="O606" s="92">
        <f t="shared" si="2"/>
        <v>0.7020833333</v>
      </c>
      <c r="P606" s="94">
        <f t="shared" si="3"/>
        <v>0.5</v>
      </c>
      <c r="Q606" s="94">
        <f t="shared" si="4"/>
        <v>0.48125</v>
      </c>
      <c r="R606" s="95">
        <f t="shared" si="5"/>
        <v>0.98125</v>
      </c>
      <c r="S606" s="95">
        <f t="shared" si="6"/>
        <v>0</v>
      </c>
      <c r="T606" s="95">
        <f t="shared" si="7"/>
        <v>0</v>
      </c>
    </row>
    <row r="607">
      <c r="A607" s="96">
        <v>105.0</v>
      </c>
      <c r="B607" s="103">
        <v>44701.0</v>
      </c>
      <c r="C607" s="96">
        <v>10216.0</v>
      </c>
      <c r="D607" s="98" t="s">
        <v>104</v>
      </c>
      <c r="E607" s="104"/>
      <c r="F607" s="99">
        <v>0.4076388888888889</v>
      </c>
      <c r="G607" s="99">
        <v>0.7493055555555556</v>
      </c>
      <c r="H607" s="101"/>
      <c r="I607" s="92" t="str">
        <f>IFERROR(VLOOKUP(D607,'Công T5'!$C$7:$F$89,4,0),"")</f>
        <v>NL</v>
      </c>
      <c r="J607" s="92">
        <f t="shared" si="8"/>
        <v>0.4076388889</v>
      </c>
      <c r="K607" s="92">
        <f t="shared" si="1"/>
        <v>0.7493055556</v>
      </c>
      <c r="L607" s="92" t="str">
        <f>IFERROR(VLOOKUP(D607,'Công T5'!$C$7:$F$89,2,0),"")</f>
        <v/>
      </c>
      <c r="M607" s="92" t="str">
        <f>IFERROR(VLOOKUP(D607,'Công T5'!$C$7:$F$89,3,0),"")</f>
        <v/>
      </c>
      <c r="N607" s="92">
        <f t="shared" si="9"/>
        <v>0.4076388889</v>
      </c>
      <c r="O607" s="92">
        <f t="shared" si="2"/>
        <v>0.7083333333</v>
      </c>
      <c r="P607" s="94">
        <f t="shared" si="3"/>
        <v>0.2770833333</v>
      </c>
      <c r="Q607" s="94">
        <f t="shared" si="4"/>
        <v>0.5</v>
      </c>
      <c r="R607" s="95">
        <f t="shared" si="5"/>
        <v>0.7770833333</v>
      </c>
      <c r="S607" s="95">
        <f t="shared" si="6"/>
        <v>0</v>
      </c>
      <c r="T607" s="95">
        <f t="shared" si="7"/>
        <v>0</v>
      </c>
    </row>
    <row r="608">
      <c r="A608" s="96">
        <v>106.0</v>
      </c>
      <c r="B608" s="103">
        <v>44702.0</v>
      </c>
      <c r="C608" s="96">
        <v>10216.0</v>
      </c>
      <c r="D608" s="98" t="s">
        <v>104</v>
      </c>
      <c r="E608" s="104"/>
      <c r="F608" s="99">
        <v>0.7083333333333334</v>
      </c>
      <c r="G608" s="102"/>
      <c r="H608" s="101"/>
      <c r="I608" s="92" t="str">
        <f>IFERROR(VLOOKUP(D608,'Công T5'!$C$7:$F$89,4,0),"")</f>
        <v>NL</v>
      </c>
      <c r="J608" s="92">
        <f t="shared" si="8"/>
        <v>0.7083333333</v>
      </c>
      <c r="K608" s="92" t="str">
        <f t="shared" si="1"/>
        <v/>
      </c>
      <c r="L608" s="92" t="str">
        <f>IFERROR(VLOOKUP(D608,'Công T5'!$C$7:$F$89,2,0),"")</f>
        <v/>
      </c>
      <c r="M608" s="92" t="str">
        <f>IFERROR(VLOOKUP(D608,'Công T5'!$C$7:$F$89,3,0),"")</f>
        <v/>
      </c>
      <c r="N608" s="92">
        <f t="shared" si="9"/>
        <v>0.7083333333</v>
      </c>
      <c r="O608" s="92" t="str">
        <f t="shared" si="2"/>
        <v/>
      </c>
      <c r="P608" s="94">
        <f t="shared" si="3"/>
        <v>0</v>
      </c>
      <c r="Q608" s="94" t="str">
        <f t="shared" si="4"/>
        <v/>
      </c>
      <c r="R608" s="95">
        <f t="shared" si="5"/>
        <v>0.5</v>
      </c>
      <c r="S608" s="95" t="str">
        <f t="shared" si="6"/>
        <v/>
      </c>
      <c r="T608" s="95">
        <f t="shared" si="7"/>
        <v>1</v>
      </c>
    </row>
    <row r="609">
      <c r="A609" s="96">
        <v>107.0</v>
      </c>
      <c r="B609" s="103">
        <v>44704.0</v>
      </c>
      <c r="C609" s="96">
        <v>10216.0</v>
      </c>
      <c r="D609" s="98" t="s">
        <v>104</v>
      </c>
      <c r="E609" s="104"/>
      <c r="F609" s="99">
        <v>0.3784722222222222</v>
      </c>
      <c r="G609" s="99">
        <v>0.7125</v>
      </c>
      <c r="H609" s="101"/>
      <c r="I609" s="92" t="str">
        <f>IFERROR(VLOOKUP(D609,'Công T5'!$C$7:$F$89,4,0),"")</f>
        <v>NL</v>
      </c>
      <c r="J609" s="92">
        <f t="shared" si="8"/>
        <v>0.3784722222</v>
      </c>
      <c r="K609" s="92">
        <f t="shared" si="1"/>
        <v>0.7125</v>
      </c>
      <c r="L609" s="92" t="str">
        <f>IFERROR(VLOOKUP(D609,'Công T5'!$C$7:$F$89,2,0),"")</f>
        <v/>
      </c>
      <c r="M609" s="92" t="str">
        <f>IFERROR(VLOOKUP(D609,'Công T5'!$C$7:$F$89,3,0),"")</f>
        <v/>
      </c>
      <c r="N609" s="92">
        <f t="shared" si="9"/>
        <v>0.3784722222</v>
      </c>
      <c r="O609" s="92">
        <f t="shared" si="2"/>
        <v>0.7083333333</v>
      </c>
      <c r="P609" s="94">
        <f t="shared" si="3"/>
        <v>0.3645833333</v>
      </c>
      <c r="Q609" s="94">
        <f t="shared" si="4"/>
        <v>0.5</v>
      </c>
      <c r="R609" s="95">
        <f t="shared" si="5"/>
        <v>0.8645833333</v>
      </c>
      <c r="S609" s="95">
        <f t="shared" si="6"/>
        <v>0</v>
      </c>
      <c r="T609" s="95">
        <f t="shared" si="7"/>
        <v>0</v>
      </c>
    </row>
    <row r="610">
      <c r="A610" s="96">
        <v>108.0</v>
      </c>
      <c r="B610" s="103">
        <v>44705.0</v>
      </c>
      <c r="C610" s="96">
        <v>10216.0</v>
      </c>
      <c r="D610" s="98" t="s">
        <v>104</v>
      </c>
      <c r="E610" s="104"/>
      <c r="F610" s="99">
        <v>0.41041666666666665</v>
      </c>
      <c r="G610" s="99">
        <v>0.7506944444444444</v>
      </c>
      <c r="H610" s="101"/>
      <c r="I610" s="92" t="str">
        <f>IFERROR(VLOOKUP(D610,'Công T5'!$C$7:$F$89,4,0),"")</f>
        <v>NL</v>
      </c>
      <c r="J610" s="92">
        <f t="shared" si="8"/>
        <v>0.4104166667</v>
      </c>
      <c r="K610" s="92">
        <f t="shared" si="1"/>
        <v>0.7506944444</v>
      </c>
      <c r="L610" s="92" t="str">
        <f>IFERROR(VLOOKUP(D610,'Công T5'!$C$7:$F$89,2,0),"")</f>
        <v/>
      </c>
      <c r="M610" s="92" t="str">
        <f>IFERROR(VLOOKUP(D610,'Công T5'!$C$7:$F$89,3,0),"")</f>
        <v/>
      </c>
      <c r="N610" s="92">
        <f t="shared" si="9"/>
        <v>0.4104166667</v>
      </c>
      <c r="O610" s="92">
        <f t="shared" si="2"/>
        <v>0.7083333333</v>
      </c>
      <c r="P610" s="94">
        <f t="shared" si="3"/>
        <v>0.26875</v>
      </c>
      <c r="Q610" s="94">
        <f t="shared" si="4"/>
        <v>0.5</v>
      </c>
      <c r="R610" s="95">
        <f t="shared" si="5"/>
        <v>0.76875</v>
      </c>
      <c r="S610" s="95">
        <f t="shared" si="6"/>
        <v>0</v>
      </c>
      <c r="T610" s="95">
        <f t="shared" si="7"/>
        <v>0</v>
      </c>
    </row>
    <row r="611">
      <c r="A611" s="96">
        <v>109.0</v>
      </c>
      <c r="B611" s="103">
        <v>44706.0</v>
      </c>
      <c r="C611" s="96">
        <v>10216.0</v>
      </c>
      <c r="D611" s="98" t="s">
        <v>104</v>
      </c>
      <c r="E611" s="104"/>
      <c r="F611" s="99">
        <v>0.46875</v>
      </c>
      <c r="G611" s="99">
        <v>0.7472222222222222</v>
      </c>
      <c r="H611" s="101"/>
      <c r="I611" s="92" t="str">
        <f>IFERROR(VLOOKUP(D611,'Công T5'!$C$7:$F$89,4,0),"")</f>
        <v>NL</v>
      </c>
      <c r="J611" s="92">
        <f t="shared" si="8"/>
        <v>0.46875</v>
      </c>
      <c r="K611" s="92">
        <f t="shared" si="1"/>
        <v>0.7472222222</v>
      </c>
      <c r="L611" s="92" t="str">
        <f>IFERROR(VLOOKUP(D611,'Công T5'!$C$7:$F$89,2,0),"")</f>
        <v/>
      </c>
      <c r="M611" s="92" t="str">
        <f>IFERROR(VLOOKUP(D611,'Công T5'!$C$7:$F$89,3,0),"")</f>
        <v/>
      </c>
      <c r="N611" s="92">
        <f t="shared" si="9"/>
        <v>0.46875</v>
      </c>
      <c r="O611" s="92">
        <f t="shared" si="2"/>
        <v>0.7083333333</v>
      </c>
      <c r="P611" s="94">
        <f t="shared" si="3"/>
        <v>0.09375</v>
      </c>
      <c r="Q611" s="94">
        <f t="shared" si="4"/>
        <v>0.5</v>
      </c>
      <c r="R611" s="95">
        <f t="shared" si="5"/>
        <v>0.59375</v>
      </c>
      <c r="S611" s="95">
        <f t="shared" si="6"/>
        <v>0</v>
      </c>
      <c r="T611" s="95">
        <f t="shared" si="7"/>
        <v>0</v>
      </c>
    </row>
    <row r="612">
      <c r="A612" s="96">
        <v>110.0</v>
      </c>
      <c r="B612" s="103">
        <v>44692.0</v>
      </c>
      <c r="C612" s="96">
        <v>10274.0</v>
      </c>
      <c r="D612" s="98" t="s">
        <v>103</v>
      </c>
      <c r="E612" s="104"/>
      <c r="F612" s="99">
        <v>0.42083333333333334</v>
      </c>
      <c r="G612" s="102"/>
      <c r="H612" s="101"/>
      <c r="I612" s="92" t="str">
        <f>IFERROR(VLOOKUP(D612,'Công T5'!$C$7:$F$89,4,0),"")</f>
        <v>NL</v>
      </c>
      <c r="J612" s="92">
        <f t="shared" si="8"/>
        <v>0.4208333333</v>
      </c>
      <c r="K612" s="92" t="str">
        <f t="shared" si="1"/>
        <v/>
      </c>
      <c r="L612" s="92" t="str">
        <f>IFERROR(VLOOKUP(D612,'Công T5'!$C$7:$F$89,2,0),"")</f>
        <v/>
      </c>
      <c r="M612" s="92" t="str">
        <f>IFERROR(VLOOKUP(D612,'Công T5'!$C$7:$F$89,3,0),"")</f>
        <v/>
      </c>
      <c r="N612" s="92">
        <f t="shared" si="9"/>
        <v>0.4208333333</v>
      </c>
      <c r="O612" s="92" t="str">
        <f t="shared" si="2"/>
        <v/>
      </c>
      <c r="P612" s="94">
        <f t="shared" si="3"/>
        <v>0</v>
      </c>
      <c r="Q612" s="94" t="str">
        <f t="shared" si="4"/>
        <v/>
      </c>
      <c r="R612" s="95">
        <f t="shared" si="5"/>
        <v>0.5</v>
      </c>
      <c r="S612" s="95" t="str">
        <f t="shared" si="6"/>
        <v/>
      </c>
      <c r="T612" s="95">
        <f t="shared" si="7"/>
        <v>1</v>
      </c>
    </row>
    <row r="613">
      <c r="A613" s="96">
        <v>111.0</v>
      </c>
      <c r="B613" s="103">
        <v>44697.0</v>
      </c>
      <c r="C613" s="96">
        <v>10274.0</v>
      </c>
      <c r="D613" s="98" t="s">
        <v>103</v>
      </c>
      <c r="E613" s="104"/>
      <c r="F613" s="99">
        <v>0.3798611111111111</v>
      </c>
      <c r="G613" s="102"/>
      <c r="H613" s="101"/>
      <c r="I613" s="92" t="str">
        <f>IFERROR(VLOOKUP(D613,'Công T5'!$C$7:$F$89,4,0),"")</f>
        <v>NL</v>
      </c>
      <c r="J613" s="92">
        <f t="shared" si="8"/>
        <v>0.3798611111</v>
      </c>
      <c r="K613" s="92" t="str">
        <f t="shared" si="1"/>
        <v/>
      </c>
      <c r="L613" s="92" t="str">
        <f>IFERROR(VLOOKUP(D613,'Công T5'!$C$7:$F$89,2,0),"")</f>
        <v/>
      </c>
      <c r="M613" s="92" t="str">
        <f>IFERROR(VLOOKUP(D613,'Công T5'!$C$7:$F$89,3,0),"")</f>
        <v/>
      </c>
      <c r="N613" s="92">
        <f t="shared" si="9"/>
        <v>0.3798611111</v>
      </c>
      <c r="O613" s="92" t="str">
        <f t="shared" si="2"/>
        <v/>
      </c>
      <c r="P613" s="94">
        <f t="shared" si="3"/>
        <v>0</v>
      </c>
      <c r="Q613" s="94" t="str">
        <f t="shared" si="4"/>
        <v/>
      </c>
      <c r="R613" s="95">
        <f t="shared" si="5"/>
        <v>0.5</v>
      </c>
      <c r="S613" s="95" t="str">
        <f t="shared" si="6"/>
        <v/>
      </c>
      <c r="T613" s="95">
        <f t="shared" si="7"/>
        <v>1</v>
      </c>
    </row>
    <row r="614">
      <c r="A614" s="96">
        <v>112.0</v>
      </c>
      <c r="B614" s="103">
        <v>44700.0</v>
      </c>
      <c r="C614" s="96">
        <v>10274.0</v>
      </c>
      <c r="D614" s="98" t="s">
        <v>103</v>
      </c>
      <c r="E614" s="104"/>
      <c r="F614" s="99">
        <v>0.4</v>
      </c>
      <c r="G614" s="102"/>
      <c r="H614" s="101"/>
      <c r="I614" s="92" t="str">
        <f>IFERROR(VLOOKUP(D614,'Công T5'!$C$7:$F$89,4,0),"")</f>
        <v>NL</v>
      </c>
      <c r="J614" s="92">
        <f t="shared" si="8"/>
        <v>0.4</v>
      </c>
      <c r="K614" s="92" t="str">
        <f t="shared" si="1"/>
        <v/>
      </c>
      <c r="L614" s="92" t="str">
        <f>IFERROR(VLOOKUP(D614,'Công T5'!$C$7:$F$89,2,0),"")</f>
        <v/>
      </c>
      <c r="M614" s="92" t="str">
        <f>IFERROR(VLOOKUP(D614,'Công T5'!$C$7:$F$89,3,0),"")</f>
        <v/>
      </c>
      <c r="N614" s="92">
        <f t="shared" si="9"/>
        <v>0.4</v>
      </c>
      <c r="O614" s="92" t="str">
        <f t="shared" si="2"/>
        <v/>
      </c>
      <c r="P614" s="94">
        <f t="shared" si="3"/>
        <v>0</v>
      </c>
      <c r="Q614" s="94" t="str">
        <f t="shared" si="4"/>
        <v/>
      </c>
      <c r="R614" s="95">
        <f t="shared" si="5"/>
        <v>0.5</v>
      </c>
      <c r="S614" s="95" t="str">
        <f t="shared" si="6"/>
        <v/>
      </c>
      <c r="T614" s="95">
        <f t="shared" si="7"/>
        <v>1</v>
      </c>
    </row>
    <row r="615">
      <c r="A615" s="96">
        <v>113.0</v>
      </c>
      <c r="B615" s="103">
        <v>44687.0</v>
      </c>
      <c r="C615" s="96">
        <v>10284.0</v>
      </c>
      <c r="D615" s="98" t="s">
        <v>107</v>
      </c>
      <c r="E615" s="104"/>
      <c r="F615" s="99">
        <v>0.36875</v>
      </c>
      <c r="G615" s="102"/>
      <c r="H615" s="101"/>
      <c r="I615" s="92" t="str">
        <f>IFERROR(VLOOKUP(D615,'Công T5'!$C$7:$F$89,4,0),"")</f>
        <v>NL</v>
      </c>
      <c r="J615" s="92">
        <f t="shared" si="8"/>
        <v>0.36875</v>
      </c>
      <c r="K615" s="92" t="str">
        <f t="shared" si="1"/>
        <v/>
      </c>
      <c r="L615" s="92" t="str">
        <f>IFERROR(VLOOKUP(D615,'Công T5'!$C$7:$F$89,2,0),"")</f>
        <v/>
      </c>
      <c r="M615" s="92" t="str">
        <f>IFERROR(VLOOKUP(D615,'Công T5'!$C$7:$F$89,3,0),"")</f>
        <v/>
      </c>
      <c r="N615" s="92">
        <f t="shared" si="9"/>
        <v>0.36875</v>
      </c>
      <c r="O615" s="92" t="str">
        <f t="shared" si="2"/>
        <v/>
      </c>
      <c r="P615" s="94">
        <f t="shared" si="3"/>
        <v>0</v>
      </c>
      <c r="Q615" s="94" t="str">
        <f t="shared" si="4"/>
        <v/>
      </c>
      <c r="R615" s="95">
        <f t="shared" si="5"/>
        <v>0.5</v>
      </c>
      <c r="S615" s="95" t="str">
        <f t="shared" si="6"/>
        <v/>
      </c>
      <c r="T615" s="95">
        <f t="shared" si="7"/>
        <v>1</v>
      </c>
    </row>
    <row r="616">
      <c r="A616" s="96">
        <v>114.0</v>
      </c>
      <c r="B616" s="103">
        <v>44705.0</v>
      </c>
      <c r="C616" s="96">
        <v>10284.0</v>
      </c>
      <c r="D616" s="98" t="s">
        <v>107</v>
      </c>
      <c r="E616" s="104"/>
      <c r="F616" s="99">
        <v>0.6222222222222222</v>
      </c>
      <c r="G616" s="102"/>
      <c r="H616" s="101"/>
      <c r="I616" s="92" t="str">
        <f>IFERROR(VLOOKUP(D616,'Công T5'!$C$7:$F$89,4,0),"")</f>
        <v>NL</v>
      </c>
      <c r="J616" s="92">
        <f t="shared" si="8"/>
        <v>0.6222222222</v>
      </c>
      <c r="K616" s="92" t="str">
        <f t="shared" si="1"/>
        <v/>
      </c>
      <c r="L616" s="92" t="str">
        <f>IFERROR(VLOOKUP(D616,'Công T5'!$C$7:$F$89,2,0),"")</f>
        <v/>
      </c>
      <c r="M616" s="92" t="str">
        <f>IFERROR(VLOOKUP(D616,'Công T5'!$C$7:$F$89,3,0),"")</f>
        <v/>
      </c>
      <c r="N616" s="92">
        <f t="shared" si="9"/>
        <v>0.6222222222</v>
      </c>
      <c r="O616" s="92" t="str">
        <f t="shared" si="2"/>
        <v/>
      </c>
      <c r="P616" s="94">
        <f t="shared" si="3"/>
        <v>0</v>
      </c>
      <c r="Q616" s="94" t="str">
        <f t="shared" si="4"/>
        <v/>
      </c>
      <c r="R616" s="95">
        <f t="shared" si="5"/>
        <v>0.5</v>
      </c>
      <c r="S616" s="95" t="str">
        <f t="shared" si="6"/>
        <v/>
      </c>
      <c r="T616" s="95">
        <f t="shared" si="7"/>
        <v>1</v>
      </c>
    </row>
    <row r="617">
      <c r="A617" s="96">
        <v>115.0</v>
      </c>
      <c r="B617" s="103">
        <v>44686.0</v>
      </c>
      <c r="C617" s="96">
        <v>10359.0</v>
      </c>
      <c r="D617" s="98" t="s">
        <v>99</v>
      </c>
      <c r="E617" s="104"/>
      <c r="F617" s="99">
        <v>0.6784722222222223</v>
      </c>
      <c r="G617" s="102"/>
      <c r="H617" s="101"/>
      <c r="I617" s="92" t="str">
        <f>IFERROR(VLOOKUP(D617,'Công T5'!$C$7:$F$89,4,0),"")</f>
        <v>NL</v>
      </c>
      <c r="J617" s="92">
        <f t="shared" si="8"/>
        <v>0.6784722222</v>
      </c>
      <c r="K617" s="92" t="str">
        <f t="shared" si="1"/>
        <v/>
      </c>
      <c r="L617" s="92" t="str">
        <f>IFERROR(VLOOKUP(D617,'Công T5'!$C$7:$F$89,2,0),"")</f>
        <v/>
      </c>
      <c r="M617" s="92" t="str">
        <f>IFERROR(VLOOKUP(D617,'Công T5'!$C$7:$F$89,3,0),"")</f>
        <v/>
      </c>
      <c r="N617" s="92">
        <f t="shared" si="9"/>
        <v>0.6784722222</v>
      </c>
      <c r="O617" s="92" t="str">
        <f t="shared" si="2"/>
        <v/>
      </c>
      <c r="P617" s="94">
        <f t="shared" si="3"/>
        <v>0</v>
      </c>
      <c r="Q617" s="94" t="str">
        <f t="shared" si="4"/>
        <v/>
      </c>
      <c r="R617" s="95">
        <f t="shared" si="5"/>
        <v>0.5</v>
      </c>
      <c r="S617" s="95" t="str">
        <f t="shared" si="6"/>
        <v/>
      </c>
      <c r="T617" s="95">
        <f t="shared" si="7"/>
        <v>1</v>
      </c>
    </row>
    <row r="618">
      <c r="A618" s="96">
        <v>116.0</v>
      </c>
      <c r="B618" s="103">
        <v>44688.0</v>
      </c>
      <c r="C618" s="96">
        <v>10377.0</v>
      </c>
      <c r="D618" s="98" t="s">
        <v>165</v>
      </c>
      <c r="E618" s="104"/>
      <c r="F618" s="99">
        <v>0.42430555555555555</v>
      </c>
      <c r="G618" s="102"/>
      <c r="H618" s="101"/>
      <c r="I618" s="92" t="str">
        <f>IFERROR(VLOOKUP(D618,'Công T5'!$C$7:$F$89,4,0),"")</f>
        <v/>
      </c>
      <c r="J618" s="92">
        <f t="shared" si="8"/>
        <v>0.4243055556</v>
      </c>
      <c r="K618" s="92" t="str">
        <f t="shared" si="1"/>
        <v/>
      </c>
      <c r="L618" s="92" t="str">
        <f>IFERROR(VLOOKUP(D618,'Công T5'!$C$7:$F$89,2,0),"")</f>
        <v/>
      </c>
      <c r="M618" s="92" t="str">
        <f>IFERROR(VLOOKUP(D618,'Công T5'!$C$7:$F$89,3,0),"")</f>
        <v/>
      </c>
      <c r="N618" s="92" t="str">
        <f t="shared" si="9"/>
        <v/>
      </c>
      <c r="O618" s="92" t="str">
        <f t="shared" si="2"/>
        <v/>
      </c>
      <c r="P618" s="94">
        <f t="shared" si="3"/>
        <v>0</v>
      </c>
      <c r="Q618" s="94" t="str">
        <f t="shared" si="4"/>
        <v/>
      </c>
      <c r="R618" s="95">
        <f t="shared" si="5"/>
        <v>0.5</v>
      </c>
      <c r="S618" s="95" t="str">
        <f t="shared" si="6"/>
        <v/>
      </c>
      <c r="T618" s="95">
        <f t="shared" si="7"/>
        <v>1</v>
      </c>
    </row>
    <row r="619">
      <c r="A619" s="96">
        <v>117.0</v>
      </c>
      <c r="B619" s="103">
        <v>44690.0</v>
      </c>
      <c r="C619" s="96">
        <v>10377.0</v>
      </c>
      <c r="D619" s="98" t="s">
        <v>165</v>
      </c>
      <c r="E619" s="104"/>
      <c r="F619" s="99">
        <v>0.3701388888888889</v>
      </c>
      <c r="G619" s="99">
        <v>0.6916666666666667</v>
      </c>
      <c r="H619" s="101"/>
      <c r="I619" s="92" t="str">
        <f>IFERROR(VLOOKUP(D619,'Công T5'!$C$7:$F$89,4,0),"")</f>
        <v/>
      </c>
      <c r="J619" s="92">
        <f t="shared" si="8"/>
        <v>0.3701388889</v>
      </c>
      <c r="K619" s="92">
        <f t="shared" si="1"/>
        <v>0.6916666667</v>
      </c>
      <c r="L619" s="92" t="str">
        <f>IFERROR(VLOOKUP(D619,'Công T5'!$C$7:$F$89,2,0),"")</f>
        <v/>
      </c>
      <c r="M619" s="92" t="str">
        <f>IFERROR(VLOOKUP(D619,'Công T5'!$C$7:$F$89,3,0),"")</f>
        <v/>
      </c>
      <c r="N619" s="92" t="str">
        <f t="shared" si="9"/>
        <v/>
      </c>
      <c r="O619" s="92">
        <f t="shared" si="2"/>
        <v>0.6916666667</v>
      </c>
      <c r="P619" s="94">
        <f t="shared" si="3"/>
        <v>0</v>
      </c>
      <c r="Q619" s="94">
        <f t="shared" si="4"/>
        <v>0.45</v>
      </c>
      <c r="R619" s="95">
        <f t="shared" si="5"/>
        <v>0.45</v>
      </c>
      <c r="S619" s="95">
        <f t="shared" si="6"/>
        <v>1</v>
      </c>
      <c r="T619" s="95">
        <f t="shared" si="7"/>
        <v>0</v>
      </c>
    </row>
    <row r="620">
      <c r="A620" s="96">
        <v>118.0</v>
      </c>
      <c r="B620" s="103">
        <v>44691.0</v>
      </c>
      <c r="C620" s="96">
        <v>10377.0</v>
      </c>
      <c r="D620" s="98" t="s">
        <v>165</v>
      </c>
      <c r="E620" s="104"/>
      <c r="F620" s="99">
        <v>0.37569444444444444</v>
      </c>
      <c r="G620" s="102"/>
      <c r="H620" s="101"/>
      <c r="I620" s="92" t="str">
        <f>IFERROR(VLOOKUP(D620,'Công T5'!$C$7:$F$89,4,0),"")</f>
        <v/>
      </c>
      <c r="J620" s="92">
        <f t="shared" si="8"/>
        <v>0.3756944444</v>
      </c>
      <c r="K620" s="92" t="str">
        <f t="shared" si="1"/>
        <v/>
      </c>
      <c r="L620" s="92" t="str">
        <f>IFERROR(VLOOKUP(D620,'Công T5'!$C$7:$F$89,2,0),"")</f>
        <v/>
      </c>
      <c r="M620" s="92" t="str">
        <f>IFERROR(VLOOKUP(D620,'Công T5'!$C$7:$F$89,3,0),"")</f>
        <v/>
      </c>
      <c r="N620" s="92" t="str">
        <f t="shared" si="9"/>
        <v/>
      </c>
      <c r="O620" s="92" t="str">
        <f t="shared" si="2"/>
        <v/>
      </c>
      <c r="P620" s="94">
        <f t="shared" si="3"/>
        <v>0</v>
      </c>
      <c r="Q620" s="94" t="str">
        <f t="shared" si="4"/>
        <v/>
      </c>
      <c r="R620" s="95">
        <f t="shared" si="5"/>
        <v>0.5</v>
      </c>
      <c r="S620" s="95" t="str">
        <f t="shared" si="6"/>
        <v/>
      </c>
      <c r="T620" s="95">
        <f t="shared" si="7"/>
        <v>1</v>
      </c>
    </row>
    <row r="621">
      <c r="A621" s="96">
        <v>119.0</v>
      </c>
      <c r="B621" s="103">
        <v>44690.0</v>
      </c>
      <c r="C621" s="96">
        <v>10379.0</v>
      </c>
      <c r="D621" s="98" t="s">
        <v>105</v>
      </c>
      <c r="E621" s="104"/>
      <c r="F621" s="99">
        <v>0.30694444444444446</v>
      </c>
      <c r="G621" s="99">
        <v>0.6284722222222222</v>
      </c>
      <c r="H621" s="101"/>
      <c r="I621" s="92" t="str">
        <f>IFERROR(VLOOKUP(D621,'Công T5'!$C$7:$F$89,4,0),"")</f>
        <v>NL</v>
      </c>
      <c r="J621" s="92">
        <f t="shared" si="8"/>
        <v>0.3069444444</v>
      </c>
      <c r="K621" s="92">
        <f t="shared" si="1"/>
        <v>0.6284722222</v>
      </c>
      <c r="L621" s="92" t="str">
        <f>IFERROR(VLOOKUP(D621,'Công T5'!$C$7:$F$89,2,0),"")</f>
        <v/>
      </c>
      <c r="M621" s="92" t="str">
        <f>IFERROR(VLOOKUP(D621,'Công T5'!$C$7:$F$89,3,0),"")</f>
        <v/>
      </c>
      <c r="N621" s="92">
        <f t="shared" si="9"/>
        <v>0.3333333333</v>
      </c>
      <c r="O621" s="92">
        <f t="shared" si="2"/>
        <v>0.6284722222</v>
      </c>
      <c r="P621" s="94">
        <f t="shared" si="3"/>
        <v>0.5</v>
      </c>
      <c r="Q621" s="94">
        <f t="shared" si="4"/>
        <v>0.2604166667</v>
      </c>
      <c r="R621" s="95">
        <f t="shared" si="5"/>
        <v>0.7604166667</v>
      </c>
      <c r="S621" s="95">
        <f t="shared" si="6"/>
        <v>0</v>
      </c>
      <c r="T621" s="95">
        <f t="shared" si="7"/>
        <v>0</v>
      </c>
    </row>
    <row r="622">
      <c r="A622" s="96">
        <v>120.0</v>
      </c>
      <c r="B622" s="103">
        <v>44697.0</v>
      </c>
      <c r="C622" s="96">
        <v>10379.0</v>
      </c>
      <c r="D622" s="98" t="s">
        <v>105</v>
      </c>
      <c r="E622" s="104"/>
      <c r="F622" s="99">
        <v>0.34652777777777777</v>
      </c>
      <c r="G622" s="99">
        <v>0.6944444444444444</v>
      </c>
      <c r="H622" s="101"/>
      <c r="I622" s="92" t="str">
        <f>IFERROR(VLOOKUP(D622,'Công T5'!$C$7:$F$89,4,0),"")</f>
        <v>NL</v>
      </c>
      <c r="J622" s="92">
        <f t="shared" si="8"/>
        <v>0.3465277778</v>
      </c>
      <c r="K622" s="92">
        <f t="shared" si="1"/>
        <v>0.6944444444</v>
      </c>
      <c r="L622" s="92" t="str">
        <f>IFERROR(VLOOKUP(D622,'Công T5'!$C$7:$F$89,2,0),"")</f>
        <v/>
      </c>
      <c r="M622" s="92" t="str">
        <f>IFERROR(VLOOKUP(D622,'Công T5'!$C$7:$F$89,3,0),"")</f>
        <v/>
      </c>
      <c r="N622" s="92">
        <f t="shared" si="9"/>
        <v>0.3333333333</v>
      </c>
      <c r="O622" s="92">
        <f t="shared" si="2"/>
        <v>0.6944444444</v>
      </c>
      <c r="P622" s="94">
        <f t="shared" si="3"/>
        <v>0.5</v>
      </c>
      <c r="Q622" s="94">
        <f t="shared" si="4"/>
        <v>0.4583333333</v>
      </c>
      <c r="R622" s="95">
        <f t="shared" si="5"/>
        <v>0.9583333333</v>
      </c>
      <c r="S622" s="95">
        <f t="shared" si="6"/>
        <v>0</v>
      </c>
      <c r="T622" s="95">
        <f t="shared" si="7"/>
        <v>0</v>
      </c>
    </row>
    <row r="623">
      <c r="A623" s="96">
        <v>121.0</v>
      </c>
      <c r="B623" s="103">
        <v>44704.0</v>
      </c>
      <c r="C623" s="96">
        <v>10379.0</v>
      </c>
      <c r="D623" s="98" t="s">
        <v>105</v>
      </c>
      <c r="E623" s="104"/>
      <c r="F623" s="99">
        <v>0.36666666666666664</v>
      </c>
      <c r="G623" s="99">
        <v>0.6284722222222222</v>
      </c>
      <c r="H623" s="101"/>
      <c r="I623" s="92" t="str">
        <f>IFERROR(VLOOKUP(D623,'Công T5'!$C$7:$F$89,4,0),"")</f>
        <v>NL</v>
      </c>
      <c r="J623" s="92">
        <f t="shared" si="8"/>
        <v>0.3666666667</v>
      </c>
      <c r="K623" s="92">
        <f t="shared" si="1"/>
        <v>0.6284722222</v>
      </c>
      <c r="L623" s="92" t="str">
        <f>IFERROR(VLOOKUP(D623,'Công T5'!$C$7:$F$89,2,0),"")</f>
        <v/>
      </c>
      <c r="M623" s="92" t="str">
        <f>IFERROR(VLOOKUP(D623,'Công T5'!$C$7:$F$89,3,0),"")</f>
        <v/>
      </c>
      <c r="N623" s="92">
        <f t="shared" si="9"/>
        <v>0.3666666667</v>
      </c>
      <c r="O623" s="92">
        <f t="shared" si="2"/>
        <v>0.6284722222</v>
      </c>
      <c r="P623" s="94">
        <f t="shared" si="3"/>
        <v>0.4</v>
      </c>
      <c r="Q623" s="94">
        <f t="shared" si="4"/>
        <v>0.2604166667</v>
      </c>
      <c r="R623" s="95">
        <f t="shared" si="5"/>
        <v>0.6604166667</v>
      </c>
      <c r="S623" s="95">
        <f t="shared" si="6"/>
        <v>0</v>
      </c>
      <c r="T623" s="95">
        <f t="shared" si="7"/>
        <v>0</v>
      </c>
    </row>
    <row r="624">
      <c r="A624" s="96">
        <v>122.0</v>
      </c>
      <c r="B624" s="103">
        <v>44678.0</v>
      </c>
      <c r="C624" s="96">
        <v>10388.0</v>
      </c>
      <c r="D624" s="98" t="s">
        <v>108</v>
      </c>
      <c r="E624" s="98" t="s">
        <v>159</v>
      </c>
      <c r="F624" s="99">
        <v>0.4263888888888889</v>
      </c>
      <c r="G624" s="102"/>
      <c r="H624" s="101"/>
      <c r="I624" s="92" t="str">
        <f>IFERROR(VLOOKUP(D624,'Công T5'!$C$7:$F$89,4,0),"")</f>
        <v>NL</v>
      </c>
      <c r="J624" s="92">
        <f t="shared" si="8"/>
        <v>0.4263888889</v>
      </c>
      <c r="K624" s="92" t="str">
        <f t="shared" si="1"/>
        <v/>
      </c>
      <c r="L624" s="92" t="str">
        <f>IFERROR(VLOOKUP(D624,'Công T5'!$C$7:$F$89,2,0),"")</f>
        <v/>
      </c>
      <c r="M624" s="92" t="str">
        <f>IFERROR(VLOOKUP(D624,'Công T5'!$C$7:$F$89,3,0),"")</f>
        <v/>
      </c>
      <c r="N624" s="92">
        <f t="shared" si="9"/>
        <v>0.4263888889</v>
      </c>
      <c r="O624" s="92" t="str">
        <f t="shared" si="2"/>
        <v/>
      </c>
      <c r="P624" s="94">
        <f t="shared" si="3"/>
        <v>0</v>
      </c>
      <c r="Q624" s="94" t="str">
        <f t="shared" si="4"/>
        <v/>
      </c>
      <c r="R624" s="95">
        <f t="shared" si="5"/>
        <v>0.5</v>
      </c>
      <c r="S624" s="95" t="str">
        <f t="shared" si="6"/>
        <v/>
      </c>
      <c r="T624" s="95">
        <f t="shared" si="7"/>
        <v>1</v>
      </c>
    </row>
    <row r="625">
      <c r="A625" s="96">
        <v>123.0</v>
      </c>
      <c r="B625" s="103">
        <v>44679.0</v>
      </c>
      <c r="C625" s="96">
        <v>10388.0</v>
      </c>
      <c r="D625" s="98" t="s">
        <v>108</v>
      </c>
      <c r="E625" s="98" t="s">
        <v>159</v>
      </c>
      <c r="F625" s="99">
        <v>0.5388888888888889</v>
      </c>
      <c r="G625" s="99">
        <v>0.7131944444444445</v>
      </c>
      <c r="H625" s="101"/>
      <c r="I625" s="92" t="str">
        <f>IFERROR(VLOOKUP(D625,'Công T5'!$C$7:$F$89,4,0),"")</f>
        <v>NL</v>
      </c>
      <c r="J625" s="92">
        <f t="shared" si="8"/>
        <v>0.5388888889</v>
      </c>
      <c r="K625" s="92">
        <f t="shared" si="1"/>
        <v>0.7131944444</v>
      </c>
      <c r="L625" s="92" t="str">
        <f>IFERROR(VLOOKUP(D625,'Công T5'!$C$7:$F$89,2,0),"")</f>
        <v/>
      </c>
      <c r="M625" s="92" t="str">
        <f>IFERROR(VLOOKUP(D625,'Công T5'!$C$7:$F$89,3,0),"")</f>
        <v/>
      </c>
      <c r="N625" s="92">
        <f t="shared" si="9"/>
        <v>0.5416666667</v>
      </c>
      <c r="O625" s="92">
        <f t="shared" si="2"/>
        <v>0.7083333333</v>
      </c>
      <c r="P625" s="94">
        <f t="shared" si="3"/>
        <v>0</v>
      </c>
      <c r="Q625" s="94">
        <f t="shared" si="4"/>
        <v>0.5</v>
      </c>
      <c r="R625" s="95">
        <f t="shared" si="5"/>
        <v>0.5</v>
      </c>
      <c r="S625" s="95">
        <f t="shared" si="6"/>
        <v>0</v>
      </c>
      <c r="T625" s="95">
        <f t="shared" si="7"/>
        <v>0</v>
      </c>
    </row>
    <row r="626">
      <c r="A626" s="96">
        <v>124.0</v>
      </c>
      <c r="B626" s="103">
        <v>44680.0</v>
      </c>
      <c r="C626" s="96">
        <v>10388.0</v>
      </c>
      <c r="D626" s="98" t="s">
        <v>108</v>
      </c>
      <c r="E626" s="98" t="s">
        <v>159</v>
      </c>
      <c r="F626" s="99">
        <v>0.39305555555555555</v>
      </c>
      <c r="G626" s="99">
        <v>0.6618055555555555</v>
      </c>
      <c r="H626" s="101"/>
      <c r="I626" s="92" t="str">
        <f>IFERROR(VLOOKUP(D626,'Công T5'!$C$7:$F$89,4,0),"")</f>
        <v>NL</v>
      </c>
      <c r="J626" s="92">
        <f t="shared" si="8"/>
        <v>0.3930555556</v>
      </c>
      <c r="K626" s="92">
        <f t="shared" si="1"/>
        <v>0.6618055556</v>
      </c>
      <c r="L626" s="92" t="str">
        <f>IFERROR(VLOOKUP(D626,'Công T5'!$C$7:$F$89,2,0),"")</f>
        <v/>
      </c>
      <c r="M626" s="92" t="str">
        <f>IFERROR(VLOOKUP(D626,'Công T5'!$C$7:$F$89,3,0),"")</f>
        <v/>
      </c>
      <c r="N626" s="92">
        <f t="shared" si="9"/>
        <v>0.3930555556</v>
      </c>
      <c r="O626" s="92">
        <f t="shared" si="2"/>
        <v>0.6618055556</v>
      </c>
      <c r="P626" s="94">
        <f t="shared" si="3"/>
        <v>0.3208333333</v>
      </c>
      <c r="Q626" s="94">
        <f t="shared" si="4"/>
        <v>0.3604166667</v>
      </c>
      <c r="R626" s="95">
        <f t="shared" si="5"/>
        <v>0.68125</v>
      </c>
      <c r="S626" s="95">
        <f t="shared" si="6"/>
        <v>0</v>
      </c>
      <c r="T626" s="95">
        <f t="shared" si="7"/>
        <v>0</v>
      </c>
    </row>
    <row r="627">
      <c r="A627" s="96">
        <v>125.0</v>
      </c>
      <c r="B627" s="103">
        <v>44686.0</v>
      </c>
      <c r="C627" s="96">
        <v>10388.0</v>
      </c>
      <c r="D627" s="98" t="s">
        <v>108</v>
      </c>
      <c r="E627" s="98" t="s">
        <v>159</v>
      </c>
      <c r="F627" s="99">
        <v>0.41041666666666665</v>
      </c>
      <c r="G627" s="99">
        <v>0.6777777777777778</v>
      </c>
      <c r="H627" s="101"/>
      <c r="I627" s="92" t="str">
        <f>IFERROR(VLOOKUP(D627,'Công T5'!$C$7:$F$89,4,0),"")</f>
        <v>NL</v>
      </c>
      <c r="J627" s="92">
        <f t="shared" si="8"/>
        <v>0.4104166667</v>
      </c>
      <c r="K627" s="92">
        <f t="shared" si="1"/>
        <v>0.6777777778</v>
      </c>
      <c r="L627" s="92" t="str">
        <f>IFERROR(VLOOKUP(D627,'Công T5'!$C$7:$F$89,2,0),"")</f>
        <v/>
      </c>
      <c r="M627" s="92" t="str">
        <f>IFERROR(VLOOKUP(D627,'Công T5'!$C$7:$F$89,3,0),"")</f>
        <v/>
      </c>
      <c r="N627" s="92">
        <f t="shared" si="9"/>
        <v>0.4104166667</v>
      </c>
      <c r="O627" s="92">
        <f t="shared" si="2"/>
        <v>0.6777777778</v>
      </c>
      <c r="P627" s="94">
        <f t="shared" si="3"/>
        <v>0.26875</v>
      </c>
      <c r="Q627" s="94">
        <f t="shared" si="4"/>
        <v>0.4083333333</v>
      </c>
      <c r="R627" s="95">
        <f t="shared" si="5"/>
        <v>0.6770833333</v>
      </c>
      <c r="S627" s="95">
        <f t="shared" si="6"/>
        <v>0</v>
      </c>
      <c r="T627" s="95">
        <f t="shared" si="7"/>
        <v>0</v>
      </c>
    </row>
    <row r="628">
      <c r="A628" s="96">
        <v>126.0</v>
      </c>
      <c r="B628" s="103">
        <v>44690.0</v>
      </c>
      <c r="C628" s="96">
        <v>10388.0</v>
      </c>
      <c r="D628" s="98" t="s">
        <v>108</v>
      </c>
      <c r="E628" s="98" t="s">
        <v>159</v>
      </c>
      <c r="F628" s="99">
        <v>0.3763888888888889</v>
      </c>
      <c r="G628" s="99">
        <v>0.6840277777777778</v>
      </c>
      <c r="H628" s="101"/>
      <c r="I628" s="92" t="str">
        <f>IFERROR(VLOOKUP(D628,'Công T5'!$C$7:$F$89,4,0),"")</f>
        <v>NL</v>
      </c>
      <c r="J628" s="92">
        <f t="shared" si="8"/>
        <v>0.3763888889</v>
      </c>
      <c r="K628" s="92">
        <f t="shared" si="1"/>
        <v>0.6840277778</v>
      </c>
      <c r="L628" s="92" t="str">
        <f>IFERROR(VLOOKUP(D628,'Công T5'!$C$7:$F$89,2,0),"")</f>
        <v/>
      </c>
      <c r="M628" s="92" t="str">
        <f>IFERROR(VLOOKUP(D628,'Công T5'!$C$7:$F$89,3,0),"")</f>
        <v/>
      </c>
      <c r="N628" s="92">
        <f t="shared" si="9"/>
        <v>0.3763888889</v>
      </c>
      <c r="O628" s="92">
        <f t="shared" si="2"/>
        <v>0.6840277778</v>
      </c>
      <c r="P628" s="94">
        <f t="shared" si="3"/>
        <v>0.3708333333</v>
      </c>
      <c r="Q628" s="94">
        <f t="shared" si="4"/>
        <v>0.4270833333</v>
      </c>
      <c r="R628" s="95">
        <f t="shared" si="5"/>
        <v>0.7979166667</v>
      </c>
      <c r="S628" s="95">
        <f t="shared" si="6"/>
        <v>0</v>
      </c>
      <c r="T628" s="95">
        <f t="shared" si="7"/>
        <v>0</v>
      </c>
    </row>
    <row r="629">
      <c r="A629" s="96">
        <v>127.0</v>
      </c>
      <c r="B629" s="103">
        <v>44691.0</v>
      </c>
      <c r="C629" s="96">
        <v>10388.0</v>
      </c>
      <c r="D629" s="98" t="s">
        <v>108</v>
      </c>
      <c r="E629" s="98" t="s">
        <v>159</v>
      </c>
      <c r="F629" s="99">
        <v>0.41875</v>
      </c>
      <c r="G629" s="102"/>
      <c r="H629" s="101"/>
      <c r="I629" s="92" t="str">
        <f>IFERROR(VLOOKUP(D629,'Công T5'!$C$7:$F$89,4,0),"")</f>
        <v>NL</v>
      </c>
      <c r="J629" s="92">
        <f t="shared" si="8"/>
        <v>0.41875</v>
      </c>
      <c r="K629" s="92" t="str">
        <f t="shared" si="1"/>
        <v/>
      </c>
      <c r="L629" s="92" t="str">
        <f>IFERROR(VLOOKUP(D629,'Công T5'!$C$7:$F$89,2,0),"")</f>
        <v/>
      </c>
      <c r="M629" s="92" t="str">
        <f>IFERROR(VLOOKUP(D629,'Công T5'!$C$7:$F$89,3,0),"")</f>
        <v/>
      </c>
      <c r="N629" s="92">
        <f t="shared" si="9"/>
        <v>0.41875</v>
      </c>
      <c r="O629" s="92" t="str">
        <f t="shared" si="2"/>
        <v/>
      </c>
      <c r="P629" s="94">
        <f t="shared" si="3"/>
        <v>0</v>
      </c>
      <c r="Q629" s="94" t="str">
        <f t="shared" si="4"/>
        <v/>
      </c>
      <c r="R629" s="95">
        <f t="shared" si="5"/>
        <v>0.5</v>
      </c>
      <c r="S629" s="95" t="str">
        <f t="shared" si="6"/>
        <v/>
      </c>
      <c r="T629" s="95">
        <f t="shared" si="7"/>
        <v>1</v>
      </c>
    </row>
    <row r="630">
      <c r="A630" s="96">
        <v>128.0</v>
      </c>
      <c r="B630" s="103">
        <v>44693.0</v>
      </c>
      <c r="C630" s="96">
        <v>10388.0</v>
      </c>
      <c r="D630" s="98" t="s">
        <v>108</v>
      </c>
      <c r="E630" s="98" t="s">
        <v>159</v>
      </c>
      <c r="F630" s="99">
        <v>0.4395833333333333</v>
      </c>
      <c r="G630" s="99">
        <v>0.7013888888888888</v>
      </c>
      <c r="H630" s="101"/>
      <c r="I630" s="92" t="str">
        <f>IFERROR(VLOOKUP(D630,'Công T5'!$C$7:$F$89,4,0),"")</f>
        <v>NL</v>
      </c>
      <c r="J630" s="92">
        <f t="shared" si="8"/>
        <v>0.4395833333</v>
      </c>
      <c r="K630" s="92">
        <f t="shared" si="1"/>
        <v>0.7013888889</v>
      </c>
      <c r="L630" s="92" t="str">
        <f>IFERROR(VLOOKUP(D630,'Công T5'!$C$7:$F$89,2,0),"")</f>
        <v/>
      </c>
      <c r="M630" s="92" t="str">
        <f>IFERROR(VLOOKUP(D630,'Công T5'!$C$7:$F$89,3,0),"")</f>
        <v/>
      </c>
      <c r="N630" s="92">
        <f t="shared" si="9"/>
        <v>0.4395833333</v>
      </c>
      <c r="O630" s="92">
        <f t="shared" si="2"/>
        <v>0.7013888889</v>
      </c>
      <c r="P630" s="94">
        <f t="shared" si="3"/>
        <v>0.18125</v>
      </c>
      <c r="Q630" s="94">
        <f t="shared" si="4"/>
        <v>0.4791666667</v>
      </c>
      <c r="R630" s="95">
        <f t="shared" si="5"/>
        <v>0.6604166667</v>
      </c>
      <c r="S630" s="95">
        <f t="shared" si="6"/>
        <v>0</v>
      </c>
      <c r="T630" s="95">
        <f t="shared" si="7"/>
        <v>0</v>
      </c>
    </row>
    <row r="631">
      <c r="A631" s="96">
        <v>129.0</v>
      </c>
      <c r="B631" s="103">
        <v>44697.0</v>
      </c>
      <c r="C631" s="96">
        <v>10388.0</v>
      </c>
      <c r="D631" s="98" t="s">
        <v>108</v>
      </c>
      <c r="E631" s="98" t="s">
        <v>159</v>
      </c>
      <c r="F631" s="99">
        <v>0.36875</v>
      </c>
      <c r="G631" s="99">
        <v>0.7104166666666667</v>
      </c>
      <c r="H631" s="101"/>
      <c r="I631" s="92" t="str">
        <f>IFERROR(VLOOKUP(D631,'Công T5'!$C$7:$F$89,4,0),"")</f>
        <v>NL</v>
      </c>
      <c r="J631" s="92">
        <f t="shared" si="8"/>
        <v>0.36875</v>
      </c>
      <c r="K631" s="92">
        <f t="shared" si="1"/>
        <v>0.7104166667</v>
      </c>
      <c r="L631" s="92" t="str">
        <f>IFERROR(VLOOKUP(D631,'Công T5'!$C$7:$F$89,2,0),"")</f>
        <v/>
      </c>
      <c r="M631" s="92" t="str">
        <f>IFERROR(VLOOKUP(D631,'Công T5'!$C$7:$F$89,3,0),"")</f>
        <v/>
      </c>
      <c r="N631" s="92">
        <f t="shared" si="9"/>
        <v>0.36875</v>
      </c>
      <c r="O631" s="92">
        <f t="shared" si="2"/>
        <v>0.7083333333</v>
      </c>
      <c r="P631" s="94">
        <f t="shared" si="3"/>
        <v>0.39375</v>
      </c>
      <c r="Q631" s="94">
        <f t="shared" si="4"/>
        <v>0.5</v>
      </c>
      <c r="R631" s="95">
        <f t="shared" si="5"/>
        <v>0.89375</v>
      </c>
      <c r="S631" s="95">
        <f t="shared" si="6"/>
        <v>0</v>
      </c>
      <c r="T631" s="95">
        <f t="shared" si="7"/>
        <v>0</v>
      </c>
    </row>
    <row r="632">
      <c r="A632" s="96">
        <v>130.0</v>
      </c>
      <c r="B632" s="103">
        <v>44698.0</v>
      </c>
      <c r="C632" s="96">
        <v>10388.0</v>
      </c>
      <c r="D632" s="98" t="s">
        <v>108</v>
      </c>
      <c r="E632" s="98" t="s">
        <v>159</v>
      </c>
      <c r="F632" s="99">
        <v>0.43680555555555556</v>
      </c>
      <c r="G632" s="102"/>
      <c r="H632" s="101"/>
      <c r="I632" s="92" t="str">
        <f>IFERROR(VLOOKUP(D632,'Công T5'!$C$7:$F$89,4,0),"")</f>
        <v>NL</v>
      </c>
      <c r="J632" s="92">
        <f t="shared" si="8"/>
        <v>0.4368055556</v>
      </c>
      <c r="K632" s="92" t="str">
        <f t="shared" si="1"/>
        <v/>
      </c>
      <c r="L632" s="92" t="str">
        <f>IFERROR(VLOOKUP(D632,'Công T5'!$C$7:$F$89,2,0),"")</f>
        <v/>
      </c>
      <c r="M632" s="92" t="str">
        <f>IFERROR(VLOOKUP(D632,'Công T5'!$C$7:$F$89,3,0),"")</f>
        <v/>
      </c>
      <c r="N632" s="92">
        <f t="shared" si="9"/>
        <v>0.4368055556</v>
      </c>
      <c r="O632" s="92" t="str">
        <f t="shared" si="2"/>
        <v/>
      </c>
      <c r="P632" s="94">
        <f t="shared" si="3"/>
        <v>0</v>
      </c>
      <c r="Q632" s="94" t="str">
        <f t="shared" si="4"/>
        <v/>
      </c>
      <c r="R632" s="95">
        <f t="shared" si="5"/>
        <v>0.5</v>
      </c>
      <c r="S632" s="95" t="str">
        <f t="shared" si="6"/>
        <v/>
      </c>
      <c r="T632" s="95">
        <f t="shared" si="7"/>
        <v>1</v>
      </c>
    </row>
    <row r="633">
      <c r="A633" s="96">
        <v>131.0</v>
      </c>
      <c r="B633" s="103">
        <v>44700.0</v>
      </c>
      <c r="C633" s="96">
        <v>10388.0</v>
      </c>
      <c r="D633" s="98" t="s">
        <v>108</v>
      </c>
      <c r="E633" s="98" t="s">
        <v>159</v>
      </c>
      <c r="F633" s="99">
        <v>0.44027777777777777</v>
      </c>
      <c r="G633" s="102"/>
      <c r="H633" s="101"/>
      <c r="I633" s="92" t="str">
        <f>IFERROR(VLOOKUP(D633,'Công T5'!$C$7:$F$89,4,0),"")</f>
        <v>NL</v>
      </c>
      <c r="J633" s="92">
        <f t="shared" si="8"/>
        <v>0.4402777778</v>
      </c>
      <c r="K633" s="92" t="str">
        <f t="shared" si="1"/>
        <v/>
      </c>
      <c r="L633" s="92" t="str">
        <f>IFERROR(VLOOKUP(D633,'Công T5'!$C$7:$F$89,2,0),"")</f>
        <v/>
      </c>
      <c r="M633" s="92" t="str">
        <f>IFERROR(VLOOKUP(D633,'Công T5'!$C$7:$F$89,3,0),"")</f>
        <v/>
      </c>
      <c r="N633" s="92">
        <f t="shared" si="9"/>
        <v>0.4402777778</v>
      </c>
      <c r="O633" s="92" t="str">
        <f t="shared" si="2"/>
        <v/>
      </c>
      <c r="P633" s="94">
        <f t="shared" si="3"/>
        <v>0</v>
      </c>
      <c r="Q633" s="94" t="str">
        <f t="shared" si="4"/>
        <v/>
      </c>
      <c r="R633" s="95">
        <f t="shared" si="5"/>
        <v>0.5</v>
      </c>
      <c r="S633" s="95" t="str">
        <f t="shared" si="6"/>
        <v/>
      </c>
      <c r="T633" s="95">
        <f t="shared" si="7"/>
        <v>1</v>
      </c>
    </row>
    <row r="634">
      <c r="A634" s="96">
        <v>132.0</v>
      </c>
      <c r="B634" s="103">
        <v>44704.0</v>
      </c>
      <c r="C634" s="96">
        <v>10388.0</v>
      </c>
      <c r="D634" s="98" t="s">
        <v>108</v>
      </c>
      <c r="E634" s="98" t="s">
        <v>159</v>
      </c>
      <c r="F634" s="99">
        <v>0.37916666666666665</v>
      </c>
      <c r="G634" s="99">
        <v>0.6979166666666666</v>
      </c>
      <c r="H634" s="101"/>
      <c r="I634" s="92" t="str">
        <f>IFERROR(VLOOKUP(D634,'Công T5'!$C$7:$F$89,4,0),"")</f>
        <v>NL</v>
      </c>
      <c r="J634" s="92">
        <f t="shared" si="8"/>
        <v>0.3791666667</v>
      </c>
      <c r="K634" s="92">
        <f t="shared" ref="K634:K972" si="10">if(and(F634="",B634&lt;&gt;B973),"",IFERROR(if(and(B634=B973,C634=C973),if(K973&lt;&gt;"",K973,J973),G634),G634))</f>
        <v>0.6979166667</v>
      </c>
      <c r="L634" s="92" t="str">
        <f>IFERROR(VLOOKUP(D634,'Công T5'!$C$7:$F$89,2,0),"")</f>
        <v/>
      </c>
      <c r="M634" s="92" t="str">
        <f>IFERROR(VLOOKUP(D634,'Công T5'!$C$7:$F$89,3,0),"")</f>
        <v/>
      </c>
      <c r="N634" s="92">
        <f t="shared" si="9"/>
        <v>0.3791666667</v>
      </c>
      <c r="O634" s="92">
        <f t="shared" si="2"/>
        <v>0.6979166667</v>
      </c>
      <c r="P634" s="94">
        <f t="shared" si="3"/>
        <v>0.3625</v>
      </c>
      <c r="Q634" s="94">
        <f t="shared" si="4"/>
        <v>0.46875</v>
      </c>
      <c r="R634" s="95">
        <f t="shared" si="5"/>
        <v>0.83125</v>
      </c>
      <c r="S634" s="95">
        <f t="shared" si="6"/>
        <v>0</v>
      </c>
      <c r="T634" s="95">
        <f t="shared" si="7"/>
        <v>0</v>
      </c>
    </row>
    <row r="635">
      <c r="A635" s="96">
        <v>133.0</v>
      </c>
      <c r="B635" s="103">
        <v>44677.0</v>
      </c>
      <c r="C635" s="96">
        <v>10390.0</v>
      </c>
      <c r="D635" s="98" t="s">
        <v>95</v>
      </c>
      <c r="E635" s="104"/>
      <c r="F635" s="99">
        <v>0.7166666666666667</v>
      </c>
      <c r="G635" s="102"/>
      <c r="H635" s="101"/>
      <c r="I635" s="92" t="str">
        <f>IFERROR(VLOOKUP(D635,'Công T5'!$C$7:$F$89,4,0),"")</f>
        <v>NL</v>
      </c>
      <c r="J635" s="92">
        <f t="shared" si="8"/>
        <v>0.7166666667</v>
      </c>
      <c r="K635" s="92" t="str">
        <f t="shared" si="10"/>
        <v/>
      </c>
      <c r="L635" s="92" t="str">
        <f>IFERROR(VLOOKUP(D635,'Công T5'!$C$7:$F$89,2,0),"")</f>
        <v/>
      </c>
      <c r="M635" s="92" t="str">
        <f>IFERROR(VLOOKUP(D635,'Công T5'!$C$7:$F$89,3,0),"")</f>
        <v/>
      </c>
      <c r="N635" s="92">
        <f t="shared" si="9"/>
        <v>0.7166666667</v>
      </c>
      <c r="O635" s="92" t="str">
        <f t="shared" si="2"/>
        <v/>
      </c>
      <c r="P635" s="94">
        <f t="shared" si="3"/>
        <v>0</v>
      </c>
      <c r="Q635" s="94" t="str">
        <f t="shared" si="4"/>
        <v/>
      </c>
      <c r="R635" s="95">
        <f t="shared" si="5"/>
        <v>0.5</v>
      </c>
      <c r="S635" s="95" t="str">
        <f t="shared" si="6"/>
        <v/>
      </c>
      <c r="T635" s="95">
        <f t="shared" si="7"/>
        <v>1</v>
      </c>
    </row>
    <row r="636">
      <c r="A636" s="96">
        <v>134.0</v>
      </c>
      <c r="B636" s="103">
        <v>44678.0</v>
      </c>
      <c r="C636" s="96">
        <v>10390.0</v>
      </c>
      <c r="D636" s="98" t="s">
        <v>95</v>
      </c>
      <c r="E636" s="104"/>
      <c r="F636" s="99">
        <v>0.6805555555555556</v>
      </c>
      <c r="G636" s="102"/>
      <c r="H636" s="101"/>
      <c r="I636" s="92" t="str">
        <f>IFERROR(VLOOKUP(D636,'Công T5'!$C$7:$F$89,4,0),"")</f>
        <v>NL</v>
      </c>
      <c r="J636" s="92">
        <f t="shared" si="8"/>
        <v>0.6805555556</v>
      </c>
      <c r="K636" s="92" t="str">
        <f t="shared" si="10"/>
        <v/>
      </c>
      <c r="L636" s="92" t="str">
        <f>IFERROR(VLOOKUP(D636,'Công T5'!$C$7:$F$89,2,0),"")</f>
        <v/>
      </c>
      <c r="M636" s="92" t="str">
        <f>IFERROR(VLOOKUP(D636,'Công T5'!$C$7:$F$89,3,0),"")</f>
        <v/>
      </c>
      <c r="N636" s="92">
        <f t="shared" si="9"/>
        <v>0.6805555556</v>
      </c>
      <c r="O636" s="92" t="str">
        <f t="shared" si="2"/>
        <v/>
      </c>
      <c r="P636" s="94">
        <f t="shared" si="3"/>
        <v>0</v>
      </c>
      <c r="Q636" s="94" t="str">
        <f t="shared" si="4"/>
        <v/>
      </c>
      <c r="R636" s="95">
        <f t="shared" si="5"/>
        <v>0.5</v>
      </c>
      <c r="S636" s="95" t="str">
        <f t="shared" si="6"/>
        <v/>
      </c>
      <c r="T636" s="95">
        <f t="shared" si="7"/>
        <v>1</v>
      </c>
    </row>
    <row r="637">
      <c r="A637" s="96">
        <v>135.0</v>
      </c>
      <c r="B637" s="103">
        <v>44679.0</v>
      </c>
      <c r="C637" s="96">
        <v>10390.0</v>
      </c>
      <c r="D637" s="98" t="s">
        <v>95</v>
      </c>
      <c r="E637" s="104"/>
      <c r="F637" s="99">
        <v>0.6520833333333333</v>
      </c>
      <c r="G637" s="102"/>
      <c r="H637" s="101"/>
      <c r="I637" s="92" t="str">
        <f>IFERROR(VLOOKUP(D637,'Công T5'!$C$7:$F$89,4,0),"")</f>
        <v>NL</v>
      </c>
      <c r="J637" s="92">
        <f t="shared" si="8"/>
        <v>0.6520833333</v>
      </c>
      <c r="K637" s="92" t="str">
        <f t="shared" si="10"/>
        <v/>
      </c>
      <c r="L637" s="92" t="str">
        <f>IFERROR(VLOOKUP(D637,'Công T5'!$C$7:$F$89,2,0),"")</f>
        <v/>
      </c>
      <c r="M637" s="92" t="str">
        <f>IFERROR(VLOOKUP(D637,'Công T5'!$C$7:$F$89,3,0),"")</f>
        <v/>
      </c>
      <c r="N637" s="92">
        <f t="shared" si="9"/>
        <v>0.6520833333</v>
      </c>
      <c r="O637" s="92" t="str">
        <f t="shared" si="2"/>
        <v/>
      </c>
      <c r="P637" s="94">
        <f t="shared" si="3"/>
        <v>0</v>
      </c>
      <c r="Q637" s="94" t="str">
        <f t="shared" si="4"/>
        <v/>
      </c>
      <c r="R637" s="95">
        <f t="shared" si="5"/>
        <v>0.5</v>
      </c>
      <c r="S637" s="95" t="str">
        <f t="shared" si="6"/>
        <v/>
      </c>
      <c r="T637" s="95">
        <f t="shared" si="7"/>
        <v>1</v>
      </c>
    </row>
    <row r="638">
      <c r="A638" s="96">
        <v>136.0</v>
      </c>
      <c r="B638" s="103">
        <v>44685.0</v>
      </c>
      <c r="C638" s="96">
        <v>10390.0</v>
      </c>
      <c r="D638" s="98" t="s">
        <v>95</v>
      </c>
      <c r="E638" s="104"/>
      <c r="F638" s="99">
        <v>0.42777777777777776</v>
      </c>
      <c r="G638" s="102"/>
      <c r="H638" s="101"/>
      <c r="I638" s="92" t="str">
        <f>IFERROR(VLOOKUP(D638,'Công T5'!$C$7:$F$89,4,0),"")</f>
        <v>NL</v>
      </c>
      <c r="J638" s="92">
        <f t="shared" si="8"/>
        <v>0.4277777778</v>
      </c>
      <c r="K638" s="92" t="str">
        <f t="shared" si="10"/>
        <v/>
      </c>
      <c r="L638" s="92" t="str">
        <f>IFERROR(VLOOKUP(D638,'Công T5'!$C$7:$F$89,2,0),"")</f>
        <v/>
      </c>
      <c r="M638" s="92" t="str">
        <f>IFERROR(VLOOKUP(D638,'Công T5'!$C$7:$F$89,3,0),"")</f>
        <v/>
      </c>
      <c r="N638" s="92">
        <f t="shared" si="9"/>
        <v>0.4277777778</v>
      </c>
      <c r="O638" s="92" t="str">
        <f t="shared" si="2"/>
        <v/>
      </c>
      <c r="P638" s="94">
        <f t="shared" si="3"/>
        <v>0</v>
      </c>
      <c r="Q638" s="94" t="str">
        <f t="shared" si="4"/>
        <v/>
      </c>
      <c r="R638" s="95">
        <f t="shared" si="5"/>
        <v>0.5</v>
      </c>
      <c r="S638" s="95" t="str">
        <f t="shared" si="6"/>
        <v/>
      </c>
      <c r="T638" s="95">
        <f t="shared" si="7"/>
        <v>1</v>
      </c>
    </row>
    <row r="639">
      <c r="A639" s="96">
        <v>137.0</v>
      </c>
      <c r="B639" s="103">
        <v>44687.0</v>
      </c>
      <c r="C639" s="96">
        <v>10390.0</v>
      </c>
      <c r="D639" s="98" t="s">
        <v>95</v>
      </c>
      <c r="E639" s="104"/>
      <c r="F639" s="99">
        <v>0.49930555555555556</v>
      </c>
      <c r="G639" s="99">
        <v>0.6590277777777778</v>
      </c>
      <c r="H639" s="101"/>
      <c r="I639" s="92" t="str">
        <f>IFERROR(VLOOKUP(D639,'Công T5'!$C$7:$F$89,4,0),"")</f>
        <v>NL</v>
      </c>
      <c r="J639" s="92">
        <f t="shared" si="8"/>
        <v>0.4993055556</v>
      </c>
      <c r="K639" s="92">
        <f t="shared" si="10"/>
        <v>0.6590277778</v>
      </c>
      <c r="L639" s="92" t="str">
        <f>IFERROR(VLOOKUP(D639,'Công T5'!$C$7:$F$89,2,0),"")</f>
        <v/>
      </c>
      <c r="M639" s="92" t="str">
        <f>IFERROR(VLOOKUP(D639,'Công T5'!$C$7:$F$89,3,0),"")</f>
        <v/>
      </c>
      <c r="N639" s="92">
        <f t="shared" si="9"/>
        <v>0.4993055556</v>
      </c>
      <c r="O639" s="92">
        <f t="shared" si="2"/>
        <v>0.6590277778</v>
      </c>
      <c r="P639" s="94">
        <f t="shared" si="3"/>
        <v>0.002083333333</v>
      </c>
      <c r="Q639" s="94">
        <f t="shared" si="4"/>
        <v>0.3520833333</v>
      </c>
      <c r="R639" s="95">
        <f t="shared" si="5"/>
        <v>0.3541666667</v>
      </c>
      <c r="S639" s="95">
        <f t="shared" si="6"/>
        <v>0</v>
      </c>
      <c r="T639" s="95">
        <f t="shared" si="7"/>
        <v>0</v>
      </c>
    </row>
    <row r="640">
      <c r="A640" s="96">
        <v>138.0</v>
      </c>
      <c r="B640" s="103">
        <v>44688.0</v>
      </c>
      <c r="C640" s="96">
        <v>10390.0</v>
      </c>
      <c r="D640" s="98" t="s">
        <v>95</v>
      </c>
      <c r="E640" s="104"/>
      <c r="F640" s="99">
        <v>0.46319444444444446</v>
      </c>
      <c r="G640" s="105"/>
      <c r="H640" s="101"/>
      <c r="I640" s="92" t="str">
        <f>IFERROR(VLOOKUP(D640,'Công T5'!$C$7:$F$89,4,0),"")</f>
        <v>NL</v>
      </c>
      <c r="J640" s="92">
        <f t="shared" si="8"/>
        <v>0.4631944444</v>
      </c>
      <c r="K640" s="92" t="str">
        <f t="shared" si="10"/>
        <v/>
      </c>
      <c r="L640" s="92" t="str">
        <f>IFERROR(VLOOKUP(D640,'Công T5'!$C$7:$F$89,2,0),"")</f>
        <v/>
      </c>
      <c r="M640" s="92" t="str">
        <f>IFERROR(VLOOKUP(D640,'Công T5'!$C$7:$F$89,3,0),"")</f>
        <v/>
      </c>
      <c r="N640" s="92">
        <f t="shared" si="9"/>
        <v>0.4631944444</v>
      </c>
      <c r="O640" s="92" t="str">
        <f t="shared" si="2"/>
        <v/>
      </c>
      <c r="P640" s="94">
        <f t="shared" si="3"/>
        <v>0</v>
      </c>
      <c r="Q640" s="94" t="str">
        <f t="shared" si="4"/>
        <v/>
      </c>
      <c r="R640" s="95">
        <f t="shared" si="5"/>
        <v>0.5</v>
      </c>
      <c r="S640" s="95" t="str">
        <f t="shared" si="6"/>
        <v/>
      </c>
      <c r="T640" s="95">
        <f t="shared" si="7"/>
        <v>1</v>
      </c>
    </row>
    <row r="641">
      <c r="A641" s="96">
        <v>139.0</v>
      </c>
      <c r="B641" s="103">
        <v>44691.0</v>
      </c>
      <c r="C641" s="96">
        <v>10390.0</v>
      </c>
      <c r="D641" s="98" t="s">
        <v>95</v>
      </c>
      <c r="E641" s="104"/>
      <c r="F641" s="99">
        <v>0.49930555555555556</v>
      </c>
      <c r="G641" s="102"/>
      <c r="H641" s="101"/>
      <c r="I641" s="92" t="str">
        <f>IFERROR(VLOOKUP(D641,'Công T5'!$C$7:$F$89,4,0),"")</f>
        <v>NL</v>
      </c>
      <c r="J641" s="92">
        <f t="shared" si="8"/>
        <v>0.4993055556</v>
      </c>
      <c r="K641" s="92" t="str">
        <f t="shared" si="10"/>
        <v/>
      </c>
      <c r="L641" s="92" t="str">
        <f>IFERROR(VLOOKUP(D641,'Công T5'!$C$7:$F$89,2,0),"")</f>
        <v/>
      </c>
      <c r="M641" s="92" t="str">
        <f>IFERROR(VLOOKUP(D641,'Công T5'!$C$7:$F$89,3,0),"")</f>
        <v/>
      </c>
      <c r="N641" s="92">
        <f t="shared" si="9"/>
        <v>0.4993055556</v>
      </c>
      <c r="O641" s="92" t="str">
        <f t="shared" si="2"/>
        <v/>
      </c>
      <c r="P641" s="94">
        <f t="shared" si="3"/>
        <v>0</v>
      </c>
      <c r="Q641" s="94" t="str">
        <f t="shared" si="4"/>
        <v/>
      </c>
      <c r="R641" s="95">
        <f t="shared" si="5"/>
        <v>0.5</v>
      </c>
      <c r="S641" s="95" t="str">
        <f t="shared" si="6"/>
        <v/>
      </c>
      <c r="T641" s="95">
        <f t="shared" si="7"/>
        <v>1</v>
      </c>
    </row>
    <row r="642">
      <c r="A642" s="96">
        <v>140.0</v>
      </c>
      <c r="B642" s="103">
        <v>44692.0</v>
      </c>
      <c r="C642" s="96">
        <v>10390.0</v>
      </c>
      <c r="D642" s="98" t="s">
        <v>95</v>
      </c>
      <c r="E642" s="104"/>
      <c r="F642" s="99">
        <v>0.3659722222222222</v>
      </c>
      <c r="G642" s="102"/>
      <c r="H642" s="101"/>
      <c r="I642" s="92" t="str">
        <f>IFERROR(VLOOKUP(D642,'Công T5'!$C$7:$F$89,4,0),"")</f>
        <v>NL</v>
      </c>
      <c r="J642" s="92">
        <f t="shared" si="8"/>
        <v>0.3659722222</v>
      </c>
      <c r="K642" s="92" t="str">
        <f t="shared" si="10"/>
        <v/>
      </c>
      <c r="L642" s="92" t="str">
        <f>IFERROR(VLOOKUP(D642,'Công T5'!$C$7:$F$89,2,0),"")</f>
        <v/>
      </c>
      <c r="M642" s="92" t="str">
        <f>IFERROR(VLOOKUP(D642,'Công T5'!$C$7:$F$89,3,0),"")</f>
        <v/>
      </c>
      <c r="N642" s="92">
        <f t="shared" si="9"/>
        <v>0.3659722222</v>
      </c>
      <c r="O642" s="92" t="str">
        <f t="shared" si="2"/>
        <v/>
      </c>
      <c r="P642" s="94">
        <f t="shared" si="3"/>
        <v>0</v>
      </c>
      <c r="Q642" s="94" t="str">
        <f t="shared" si="4"/>
        <v/>
      </c>
      <c r="R642" s="95">
        <f t="shared" si="5"/>
        <v>0.5</v>
      </c>
      <c r="S642" s="95" t="str">
        <f t="shared" si="6"/>
        <v/>
      </c>
      <c r="T642" s="95">
        <f t="shared" si="7"/>
        <v>1</v>
      </c>
    </row>
    <row r="643">
      <c r="A643" s="96">
        <v>141.0</v>
      </c>
      <c r="B643" s="103">
        <v>44693.0</v>
      </c>
      <c r="C643" s="96">
        <v>10390.0</v>
      </c>
      <c r="D643" s="98" t="s">
        <v>95</v>
      </c>
      <c r="E643" s="104"/>
      <c r="F643" s="99">
        <v>0.7319444444444444</v>
      </c>
      <c r="G643" s="102"/>
      <c r="H643" s="101"/>
      <c r="I643" s="92" t="str">
        <f>IFERROR(VLOOKUP(D643,'Công T5'!$C$7:$F$89,4,0),"")</f>
        <v>NL</v>
      </c>
      <c r="J643" s="92">
        <f t="shared" si="8"/>
        <v>0.7319444444</v>
      </c>
      <c r="K643" s="92" t="str">
        <f t="shared" si="10"/>
        <v/>
      </c>
      <c r="L643" s="92" t="str">
        <f>IFERROR(VLOOKUP(D643,'Công T5'!$C$7:$F$89,2,0),"")</f>
        <v/>
      </c>
      <c r="M643" s="92" t="str">
        <f>IFERROR(VLOOKUP(D643,'Công T5'!$C$7:$F$89,3,0),"")</f>
        <v/>
      </c>
      <c r="N643" s="92">
        <f t="shared" si="9"/>
        <v>0.7319444444</v>
      </c>
      <c r="O643" s="92" t="str">
        <f t="shared" si="2"/>
        <v/>
      </c>
      <c r="P643" s="94">
        <f t="shared" si="3"/>
        <v>0</v>
      </c>
      <c r="Q643" s="94" t="str">
        <f t="shared" si="4"/>
        <v/>
      </c>
      <c r="R643" s="95">
        <f t="shared" si="5"/>
        <v>0.5</v>
      </c>
      <c r="S643" s="95" t="str">
        <f t="shared" si="6"/>
        <v/>
      </c>
      <c r="T643" s="95">
        <f t="shared" si="7"/>
        <v>1</v>
      </c>
    </row>
    <row r="644">
      <c r="A644" s="96">
        <v>142.0</v>
      </c>
      <c r="B644" s="103">
        <v>44694.0</v>
      </c>
      <c r="C644" s="96">
        <v>10390.0</v>
      </c>
      <c r="D644" s="98" t="s">
        <v>95</v>
      </c>
      <c r="E644" s="104"/>
      <c r="F644" s="99">
        <v>0.7361111111111112</v>
      </c>
      <c r="G644" s="102"/>
      <c r="H644" s="101"/>
      <c r="I644" s="92" t="str">
        <f>IFERROR(VLOOKUP(D644,'Công T5'!$C$7:$F$89,4,0),"")</f>
        <v>NL</v>
      </c>
      <c r="J644" s="92">
        <f t="shared" si="8"/>
        <v>0.7361111111</v>
      </c>
      <c r="K644" s="92" t="str">
        <f t="shared" si="10"/>
        <v/>
      </c>
      <c r="L644" s="92" t="str">
        <f>IFERROR(VLOOKUP(D644,'Công T5'!$C$7:$F$89,2,0),"")</f>
        <v/>
      </c>
      <c r="M644" s="92" t="str">
        <f>IFERROR(VLOOKUP(D644,'Công T5'!$C$7:$F$89,3,0),"")</f>
        <v/>
      </c>
      <c r="N644" s="92">
        <f t="shared" si="9"/>
        <v>0.7361111111</v>
      </c>
      <c r="O644" s="92" t="str">
        <f t="shared" si="2"/>
        <v/>
      </c>
      <c r="P644" s="94">
        <f t="shared" si="3"/>
        <v>0</v>
      </c>
      <c r="Q644" s="94" t="str">
        <f t="shared" si="4"/>
        <v/>
      </c>
      <c r="R644" s="95">
        <f t="shared" si="5"/>
        <v>0.5</v>
      </c>
      <c r="S644" s="95" t="str">
        <f t="shared" si="6"/>
        <v/>
      </c>
      <c r="T644" s="95">
        <f t="shared" si="7"/>
        <v>1</v>
      </c>
    </row>
    <row r="645">
      <c r="A645" s="96">
        <v>143.0</v>
      </c>
      <c r="B645" s="103">
        <v>44697.0</v>
      </c>
      <c r="C645" s="96">
        <v>10390.0</v>
      </c>
      <c r="D645" s="98" t="s">
        <v>95</v>
      </c>
      <c r="E645" s="104"/>
      <c r="F645" s="99">
        <v>0.35694444444444445</v>
      </c>
      <c r="G645" s="99">
        <v>0.7666666666666667</v>
      </c>
      <c r="H645" s="101"/>
      <c r="I645" s="92" t="str">
        <f>IFERROR(VLOOKUP(D645,'Công T5'!$C$7:$F$89,4,0),"")</f>
        <v>NL</v>
      </c>
      <c r="J645" s="92">
        <f t="shared" si="8"/>
        <v>0.3569444444</v>
      </c>
      <c r="K645" s="92">
        <f t="shared" si="10"/>
        <v>0.7666666667</v>
      </c>
      <c r="L645" s="92" t="str">
        <f>IFERROR(VLOOKUP(D645,'Công T5'!$C$7:$F$89,2,0),"")</f>
        <v/>
      </c>
      <c r="M645" s="92" t="str">
        <f>IFERROR(VLOOKUP(D645,'Công T5'!$C$7:$F$89,3,0),"")</f>
        <v/>
      </c>
      <c r="N645" s="92">
        <f t="shared" si="9"/>
        <v>0.3569444444</v>
      </c>
      <c r="O645" s="92">
        <f t="shared" si="2"/>
        <v>0.7083333333</v>
      </c>
      <c r="P645" s="94">
        <f t="shared" si="3"/>
        <v>0.4291666667</v>
      </c>
      <c r="Q645" s="94">
        <f t="shared" si="4"/>
        <v>0.5</v>
      </c>
      <c r="R645" s="95">
        <f t="shared" si="5"/>
        <v>0.9291666667</v>
      </c>
      <c r="S645" s="95">
        <f t="shared" si="6"/>
        <v>0</v>
      </c>
      <c r="T645" s="95">
        <f t="shared" si="7"/>
        <v>0</v>
      </c>
    </row>
    <row r="646">
      <c r="A646" s="96">
        <v>144.0</v>
      </c>
      <c r="B646" s="103">
        <v>44698.0</v>
      </c>
      <c r="C646" s="96">
        <v>10390.0</v>
      </c>
      <c r="D646" s="98" t="s">
        <v>95</v>
      </c>
      <c r="E646" s="104"/>
      <c r="F646" s="99">
        <v>0.37222222222222223</v>
      </c>
      <c r="G646" s="99">
        <v>0.7701388888888889</v>
      </c>
      <c r="H646" s="101"/>
      <c r="I646" s="92" t="str">
        <f>IFERROR(VLOOKUP(D646,'Công T5'!$C$7:$F$89,4,0),"")</f>
        <v>NL</v>
      </c>
      <c r="J646" s="92">
        <f t="shared" si="8"/>
        <v>0.3722222222</v>
      </c>
      <c r="K646" s="92">
        <f t="shared" si="10"/>
        <v>0.7701388889</v>
      </c>
      <c r="L646" s="92" t="str">
        <f>IFERROR(VLOOKUP(D646,'Công T5'!$C$7:$F$89,2,0),"")</f>
        <v/>
      </c>
      <c r="M646" s="92" t="str">
        <f>IFERROR(VLOOKUP(D646,'Công T5'!$C$7:$F$89,3,0),"")</f>
        <v/>
      </c>
      <c r="N646" s="92">
        <f t="shared" si="9"/>
        <v>0.3722222222</v>
      </c>
      <c r="O646" s="92">
        <f t="shared" si="2"/>
        <v>0.7083333333</v>
      </c>
      <c r="P646" s="94">
        <f t="shared" si="3"/>
        <v>0.3833333333</v>
      </c>
      <c r="Q646" s="94">
        <f t="shared" si="4"/>
        <v>0.5</v>
      </c>
      <c r="R646" s="95">
        <f t="shared" si="5"/>
        <v>0.8833333333</v>
      </c>
      <c r="S646" s="95">
        <f t="shared" si="6"/>
        <v>0</v>
      </c>
      <c r="T646" s="95">
        <f t="shared" si="7"/>
        <v>0</v>
      </c>
    </row>
    <row r="647">
      <c r="A647" s="96">
        <v>145.0</v>
      </c>
      <c r="B647" s="103">
        <v>44699.0</v>
      </c>
      <c r="C647" s="96">
        <v>10390.0</v>
      </c>
      <c r="D647" s="98" t="s">
        <v>95</v>
      </c>
      <c r="E647" s="104"/>
      <c r="F647" s="99">
        <v>0.7527777777777778</v>
      </c>
      <c r="G647" s="102"/>
      <c r="H647" s="101"/>
      <c r="I647" s="92" t="str">
        <f>IFERROR(VLOOKUP(D647,'Công T5'!$C$7:$F$89,4,0),"")</f>
        <v>NL</v>
      </c>
      <c r="J647" s="92">
        <f t="shared" si="8"/>
        <v>0.7527777778</v>
      </c>
      <c r="K647" s="92" t="str">
        <f t="shared" si="10"/>
        <v/>
      </c>
      <c r="L647" s="92" t="str">
        <f>IFERROR(VLOOKUP(D647,'Công T5'!$C$7:$F$89,2,0),"")</f>
        <v/>
      </c>
      <c r="M647" s="92" t="str">
        <f>IFERROR(VLOOKUP(D647,'Công T5'!$C$7:$F$89,3,0),"")</f>
        <v/>
      </c>
      <c r="N647" s="92">
        <f t="shared" si="9"/>
        <v>0.7527777778</v>
      </c>
      <c r="O647" s="92" t="str">
        <f t="shared" si="2"/>
        <v/>
      </c>
      <c r="P647" s="94">
        <f t="shared" si="3"/>
        <v>0</v>
      </c>
      <c r="Q647" s="94" t="str">
        <f t="shared" si="4"/>
        <v/>
      </c>
      <c r="R647" s="95">
        <f t="shared" si="5"/>
        <v>0.5</v>
      </c>
      <c r="S647" s="95" t="str">
        <f t="shared" si="6"/>
        <v/>
      </c>
      <c r="T647" s="95">
        <f t="shared" si="7"/>
        <v>1</v>
      </c>
    </row>
    <row r="648">
      <c r="A648" s="96">
        <v>146.0</v>
      </c>
      <c r="B648" s="103">
        <v>44701.0</v>
      </c>
      <c r="C648" s="96">
        <v>10390.0</v>
      </c>
      <c r="D648" s="98" t="s">
        <v>95</v>
      </c>
      <c r="E648" s="104"/>
      <c r="F648" s="99">
        <v>0.36041666666666666</v>
      </c>
      <c r="G648" s="102"/>
      <c r="H648" s="101"/>
      <c r="I648" s="92" t="str">
        <f>IFERROR(VLOOKUP(D648,'Công T5'!$C$7:$F$89,4,0),"")</f>
        <v>NL</v>
      </c>
      <c r="J648" s="92">
        <f t="shared" si="8"/>
        <v>0.3604166667</v>
      </c>
      <c r="K648" s="92" t="str">
        <f t="shared" si="10"/>
        <v/>
      </c>
      <c r="L648" s="92" t="str">
        <f>IFERROR(VLOOKUP(D648,'Công T5'!$C$7:$F$89,2,0),"")</f>
        <v/>
      </c>
      <c r="M648" s="92" t="str">
        <f>IFERROR(VLOOKUP(D648,'Công T5'!$C$7:$F$89,3,0),"")</f>
        <v/>
      </c>
      <c r="N648" s="92">
        <f t="shared" si="9"/>
        <v>0.3604166667</v>
      </c>
      <c r="O648" s="92" t="str">
        <f t="shared" si="2"/>
        <v/>
      </c>
      <c r="P648" s="94">
        <f t="shared" si="3"/>
        <v>0</v>
      </c>
      <c r="Q648" s="94" t="str">
        <f t="shared" si="4"/>
        <v/>
      </c>
      <c r="R648" s="95">
        <f t="shared" si="5"/>
        <v>0.5</v>
      </c>
      <c r="S648" s="95" t="str">
        <f t="shared" si="6"/>
        <v/>
      </c>
      <c r="T648" s="95">
        <f t="shared" si="7"/>
        <v>1</v>
      </c>
    </row>
    <row r="649">
      <c r="A649" s="96">
        <v>147.0</v>
      </c>
      <c r="B649" s="103">
        <v>44705.0</v>
      </c>
      <c r="C649" s="96">
        <v>10390.0</v>
      </c>
      <c r="D649" s="98" t="s">
        <v>95</v>
      </c>
      <c r="E649" s="104"/>
      <c r="F649" s="99">
        <v>0.7333333333333333</v>
      </c>
      <c r="G649" s="102"/>
      <c r="H649" s="101"/>
      <c r="I649" s="92" t="str">
        <f>IFERROR(VLOOKUP(D649,'Công T5'!$C$7:$F$89,4,0),"")</f>
        <v>NL</v>
      </c>
      <c r="J649" s="92">
        <f t="shared" si="8"/>
        <v>0.7333333333</v>
      </c>
      <c r="K649" s="92" t="str">
        <f t="shared" si="10"/>
        <v/>
      </c>
      <c r="L649" s="92" t="str">
        <f>IFERROR(VLOOKUP(D649,'Công T5'!$C$7:$F$89,2,0),"")</f>
        <v/>
      </c>
      <c r="M649" s="92" t="str">
        <f>IFERROR(VLOOKUP(D649,'Công T5'!$C$7:$F$89,3,0),"")</f>
        <v/>
      </c>
      <c r="N649" s="92">
        <f t="shared" si="9"/>
        <v>0.7333333333</v>
      </c>
      <c r="O649" s="92" t="str">
        <f t="shared" si="2"/>
        <v/>
      </c>
      <c r="P649" s="94">
        <f t="shared" si="3"/>
        <v>0</v>
      </c>
      <c r="Q649" s="94" t="str">
        <f t="shared" si="4"/>
        <v/>
      </c>
      <c r="R649" s="95">
        <f t="shared" si="5"/>
        <v>0.5</v>
      </c>
      <c r="S649" s="95" t="str">
        <f t="shared" si="6"/>
        <v/>
      </c>
      <c r="T649" s="95">
        <f t="shared" si="7"/>
        <v>1</v>
      </c>
    </row>
    <row r="650">
      <c r="A650" s="96">
        <v>148.0</v>
      </c>
      <c r="B650" s="103">
        <v>44706.0</v>
      </c>
      <c r="C650" s="96">
        <v>10390.0</v>
      </c>
      <c r="D650" s="98" t="s">
        <v>95</v>
      </c>
      <c r="E650" s="104"/>
      <c r="F650" s="99">
        <v>0.46319444444444446</v>
      </c>
      <c r="G650" s="99">
        <v>0.7013888888888888</v>
      </c>
      <c r="H650" s="101"/>
      <c r="I650" s="92" t="str">
        <f>IFERROR(VLOOKUP(D650,'Công T5'!$C$7:$F$89,4,0),"")</f>
        <v>NL</v>
      </c>
      <c r="J650" s="92">
        <f t="shared" si="8"/>
        <v>0.4631944444</v>
      </c>
      <c r="K650" s="92">
        <f t="shared" si="10"/>
        <v>0.7013888889</v>
      </c>
      <c r="L650" s="92" t="str">
        <f>IFERROR(VLOOKUP(D650,'Công T5'!$C$7:$F$89,2,0),"")</f>
        <v/>
      </c>
      <c r="M650" s="92" t="str">
        <f>IFERROR(VLOOKUP(D650,'Công T5'!$C$7:$F$89,3,0),"")</f>
        <v/>
      </c>
      <c r="N650" s="92">
        <f t="shared" si="9"/>
        <v>0.4631944444</v>
      </c>
      <c r="O650" s="92">
        <f t="shared" si="2"/>
        <v>0.7013888889</v>
      </c>
      <c r="P650" s="94">
        <f t="shared" si="3"/>
        <v>0.1104166667</v>
      </c>
      <c r="Q650" s="94">
        <f t="shared" si="4"/>
        <v>0.4791666667</v>
      </c>
      <c r="R650" s="95">
        <f t="shared" si="5"/>
        <v>0.5895833333</v>
      </c>
      <c r="S650" s="95">
        <f t="shared" si="6"/>
        <v>0</v>
      </c>
      <c r="T650" s="95">
        <f t="shared" si="7"/>
        <v>0</v>
      </c>
    </row>
    <row r="651">
      <c r="A651" s="89" t="s">
        <v>166</v>
      </c>
      <c r="B651" s="90"/>
      <c r="C651" s="90"/>
      <c r="D651" s="90"/>
      <c r="E651" s="90"/>
      <c r="F651" s="90"/>
      <c r="G651" s="90"/>
      <c r="H651" s="91"/>
      <c r="I651" s="92" t="str">
        <f>IFERROR(VLOOKUP(D651,'Công T5'!$C$7:$F$89,4,0),"")</f>
        <v/>
      </c>
      <c r="J651" s="92" t="str">
        <f t="shared" si="8"/>
        <v/>
      </c>
      <c r="K651" s="92" t="str">
        <f t="shared" si="10"/>
        <v/>
      </c>
      <c r="L651" s="92" t="str">
        <f>IFERROR(VLOOKUP(D651,'Công T5'!$C$7:$F$89,2,0),"")</f>
        <v/>
      </c>
      <c r="M651" s="92" t="str">
        <f>IFERROR(VLOOKUP(D651,'Công T5'!$C$7:$F$89,3,0),"")</f>
        <v/>
      </c>
      <c r="N651" s="92" t="str">
        <f t="shared" si="9"/>
        <v/>
      </c>
      <c r="O651" s="92" t="str">
        <f t="shared" si="2"/>
        <v/>
      </c>
      <c r="P651" s="94">
        <f t="shared" si="3"/>
        <v>0</v>
      </c>
      <c r="Q651" s="94" t="str">
        <f t="shared" si="4"/>
        <v/>
      </c>
      <c r="R651" s="95">
        <f t="shared" si="5"/>
        <v>0</v>
      </c>
      <c r="S651" s="95">
        <f t="shared" si="6"/>
        <v>0</v>
      </c>
      <c r="T651" s="95" t="str">
        <f t="shared" si="7"/>
        <v/>
      </c>
    </row>
    <row r="652">
      <c r="A652" s="96">
        <v>1.0</v>
      </c>
      <c r="B652" s="103">
        <v>44677.0</v>
      </c>
      <c r="C652" s="96">
        <v>10007.0</v>
      </c>
      <c r="D652" s="98" t="s">
        <v>66</v>
      </c>
      <c r="E652" s="98" t="s">
        <v>159</v>
      </c>
      <c r="F652" s="99">
        <v>0.5256944444444445</v>
      </c>
      <c r="G652" s="99">
        <v>0.7583333333333333</v>
      </c>
      <c r="H652" s="101"/>
      <c r="I652" s="92" t="str">
        <f>IFERROR(VLOOKUP(D652,'Công T5'!$C$7:$F$89,4,0),"")</f>
        <v>HCTH</v>
      </c>
      <c r="J652" s="92">
        <f t="shared" si="8"/>
        <v>0.5256944444</v>
      </c>
      <c r="K652" s="92">
        <f t="shared" si="10"/>
        <v>0.7583333333</v>
      </c>
      <c r="L652" s="92" t="str">
        <f>IFERROR(VLOOKUP(D652,'Công T5'!$C$7:$F$89,2,0),"")</f>
        <v/>
      </c>
      <c r="M652" s="92" t="str">
        <f>IFERROR(VLOOKUP(D652,'Công T5'!$C$7:$F$89,3,0),"")</f>
        <v/>
      </c>
      <c r="N652" s="92">
        <f t="shared" si="9"/>
        <v>0.5416666667</v>
      </c>
      <c r="O652" s="92">
        <f t="shared" si="2"/>
        <v>0.7083333333</v>
      </c>
      <c r="P652" s="94">
        <f t="shared" si="3"/>
        <v>0</v>
      </c>
      <c r="Q652" s="94">
        <f t="shared" si="4"/>
        <v>0.5</v>
      </c>
      <c r="R652" s="95">
        <f t="shared" si="5"/>
        <v>0.5</v>
      </c>
      <c r="S652" s="95">
        <f t="shared" si="6"/>
        <v>1</v>
      </c>
      <c r="T652" s="95">
        <f t="shared" si="7"/>
        <v>0</v>
      </c>
    </row>
    <row r="653">
      <c r="A653" s="96">
        <v>2.0</v>
      </c>
      <c r="B653" s="103">
        <v>44691.0</v>
      </c>
      <c r="C653" s="96">
        <v>10007.0</v>
      </c>
      <c r="D653" s="98" t="s">
        <v>66</v>
      </c>
      <c r="E653" s="98" t="s">
        <v>159</v>
      </c>
      <c r="F653" s="99">
        <v>0.5458333333333333</v>
      </c>
      <c r="G653" s="99">
        <v>0.7416666666666667</v>
      </c>
      <c r="H653" s="101"/>
      <c r="I653" s="92" t="str">
        <f>IFERROR(VLOOKUP(D653,'Công T5'!$C$7:$F$89,4,0),"")</f>
        <v>HCTH</v>
      </c>
      <c r="J653" s="92">
        <f t="shared" si="8"/>
        <v>0.5458333333</v>
      </c>
      <c r="K653" s="92">
        <f t="shared" si="10"/>
        <v>0.7416666667</v>
      </c>
      <c r="L653" s="92" t="str">
        <f>IFERROR(VLOOKUP(D653,'Công T5'!$C$7:$F$89,2,0),"")</f>
        <v/>
      </c>
      <c r="M653" s="92" t="str">
        <f>IFERROR(VLOOKUP(D653,'Công T5'!$C$7:$F$89,3,0),"")</f>
        <v/>
      </c>
      <c r="N653" s="92">
        <f t="shared" si="9"/>
        <v>0.5458333333</v>
      </c>
      <c r="O653" s="92">
        <f t="shared" si="2"/>
        <v>0.7083333333</v>
      </c>
      <c r="P653" s="94">
        <f t="shared" si="3"/>
        <v>0</v>
      </c>
      <c r="Q653" s="94">
        <f t="shared" si="4"/>
        <v>0.5</v>
      </c>
      <c r="R653" s="95">
        <f t="shared" si="5"/>
        <v>0.5</v>
      </c>
      <c r="S653" s="95">
        <f t="shared" si="6"/>
        <v>1</v>
      </c>
      <c r="T653" s="95">
        <f t="shared" si="7"/>
        <v>0</v>
      </c>
    </row>
    <row r="654">
      <c r="A654" s="96">
        <v>3.0</v>
      </c>
      <c r="B654" s="103">
        <v>44692.0</v>
      </c>
      <c r="C654" s="96">
        <v>10007.0</v>
      </c>
      <c r="D654" s="98" t="s">
        <v>66</v>
      </c>
      <c r="E654" s="98" t="s">
        <v>159</v>
      </c>
      <c r="F654" s="99">
        <v>0.3263888888888889</v>
      </c>
      <c r="G654" s="99">
        <v>0.7381944444444445</v>
      </c>
      <c r="H654" s="101"/>
      <c r="I654" s="92" t="str">
        <f>IFERROR(VLOOKUP(D654,'Công T5'!$C$7:$F$89,4,0),"")</f>
        <v>HCTH</v>
      </c>
      <c r="J654" s="92">
        <f t="shared" si="8"/>
        <v>0.3263888889</v>
      </c>
      <c r="K654" s="92">
        <f t="shared" si="10"/>
        <v>0.7381944444</v>
      </c>
      <c r="L654" s="92" t="str">
        <f>IFERROR(VLOOKUP(D654,'Công T5'!$C$7:$F$89,2,0),"")</f>
        <v/>
      </c>
      <c r="M654" s="92" t="str">
        <f>IFERROR(VLOOKUP(D654,'Công T5'!$C$7:$F$89,3,0),"")</f>
        <v/>
      </c>
      <c r="N654" s="92">
        <f t="shared" si="9"/>
        <v>0.3333333333</v>
      </c>
      <c r="O654" s="92">
        <f t="shared" si="2"/>
        <v>0.7083333333</v>
      </c>
      <c r="P654" s="94">
        <f t="shared" si="3"/>
        <v>0.5</v>
      </c>
      <c r="Q654" s="94">
        <f t="shared" si="4"/>
        <v>0.5</v>
      </c>
      <c r="R654" s="95">
        <f t="shared" si="5"/>
        <v>1</v>
      </c>
      <c r="S654" s="95">
        <f t="shared" si="6"/>
        <v>0</v>
      </c>
      <c r="T654" s="95">
        <f t="shared" si="7"/>
        <v>0</v>
      </c>
    </row>
    <row r="655">
      <c r="A655" s="96">
        <v>4.0</v>
      </c>
      <c r="B655" s="103">
        <v>44693.0</v>
      </c>
      <c r="C655" s="96">
        <v>10007.0</v>
      </c>
      <c r="D655" s="98" t="s">
        <v>66</v>
      </c>
      <c r="E655" s="98" t="s">
        <v>159</v>
      </c>
      <c r="F655" s="99">
        <v>0.3236111111111111</v>
      </c>
      <c r="G655" s="99">
        <v>0.7215277777777778</v>
      </c>
      <c r="H655" s="101"/>
      <c r="I655" s="92" t="str">
        <f>IFERROR(VLOOKUP(D655,'Công T5'!$C$7:$F$89,4,0),"")</f>
        <v>HCTH</v>
      </c>
      <c r="J655" s="92">
        <f t="shared" si="8"/>
        <v>0.3236111111</v>
      </c>
      <c r="K655" s="92">
        <f t="shared" si="10"/>
        <v>0.7215277778</v>
      </c>
      <c r="L655" s="92" t="str">
        <f>IFERROR(VLOOKUP(D655,'Công T5'!$C$7:$F$89,2,0),"")</f>
        <v/>
      </c>
      <c r="M655" s="92" t="str">
        <f>IFERROR(VLOOKUP(D655,'Công T5'!$C$7:$F$89,3,0),"")</f>
        <v/>
      </c>
      <c r="N655" s="92">
        <f t="shared" si="9"/>
        <v>0.3333333333</v>
      </c>
      <c r="O655" s="92">
        <f t="shared" si="2"/>
        <v>0.7083333333</v>
      </c>
      <c r="P655" s="94">
        <f t="shared" si="3"/>
        <v>0.5</v>
      </c>
      <c r="Q655" s="94">
        <f t="shared" si="4"/>
        <v>0.5</v>
      </c>
      <c r="R655" s="95">
        <f t="shared" si="5"/>
        <v>1</v>
      </c>
      <c r="S655" s="95">
        <f t="shared" si="6"/>
        <v>0</v>
      </c>
      <c r="T655" s="95">
        <f t="shared" si="7"/>
        <v>0</v>
      </c>
    </row>
    <row r="656">
      <c r="A656" s="96">
        <v>5.0</v>
      </c>
      <c r="B656" s="103">
        <v>44694.0</v>
      </c>
      <c r="C656" s="96">
        <v>10007.0</v>
      </c>
      <c r="D656" s="98" t="s">
        <v>66</v>
      </c>
      <c r="E656" s="98" t="s">
        <v>159</v>
      </c>
      <c r="F656" s="99">
        <v>0.3284722222222222</v>
      </c>
      <c r="G656" s="99">
        <v>0.7236111111111111</v>
      </c>
      <c r="H656" s="101"/>
      <c r="I656" s="92" t="str">
        <f>IFERROR(VLOOKUP(D656,'Công T5'!$C$7:$F$89,4,0),"")</f>
        <v>HCTH</v>
      </c>
      <c r="J656" s="92">
        <f t="shared" si="8"/>
        <v>0.3284722222</v>
      </c>
      <c r="K656" s="92">
        <f t="shared" si="10"/>
        <v>0.7236111111</v>
      </c>
      <c r="L656" s="92" t="str">
        <f>IFERROR(VLOOKUP(D656,'Công T5'!$C$7:$F$89,2,0),"")</f>
        <v/>
      </c>
      <c r="M656" s="92" t="str">
        <f>IFERROR(VLOOKUP(D656,'Công T5'!$C$7:$F$89,3,0),"")</f>
        <v/>
      </c>
      <c r="N656" s="92">
        <f t="shared" si="9"/>
        <v>0.3333333333</v>
      </c>
      <c r="O656" s="92">
        <f t="shared" si="2"/>
        <v>0.7083333333</v>
      </c>
      <c r="P656" s="94">
        <f t="shared" si="3"/>
        <v>0.5</v>
      </c>
      <c r="Q656" s="94">
        <f t="shared" si="4"/>
        <v>0.5</v>
      </c>
      <c r="R656" s="95">
        <f t="shared" si="5"/>
        <v>1</v>
      </c>
      <c r="S656" s="95">
        <f t="shared" si="6"/>
        <v>0</v>
      </c>
      <c r="T656" s="95">
        <f t="shared" si="7"/>
        <v>0</v>
      </c>
    </row>
    <row r="657">
      <c r="A657" s="96">
        <v>6.0</v>
      </c>
      <c r="B657" s="103">
        <v>44697.0</v>
      </c>
      <c r="C657" s="96">
        <v>10007.0</v>
      </c>
      <c r="D657" s="98" t="s">
        <v>66</v>
      </c>
      <c r="E657" s="98" t="s">
        <v>159</v>
      </c>
      <c r="F657" s="99">
        <v>0.31805555555555554</v>
      </c>
      <c r="G657" s="99">
        <v>0.7305555555555555</v>
      </c>
      <c r="H657" s="101"/>
      <c r="I657" s="92" t="str">
        <f>IFERROR(VLOOKUP(D657,'Công T5'!$C$7:$F$89,4,0),"")</f>
        <v>HCTH</v>
      </c>
      <c r="J657" s="92">
        <f t="shared" si="8"/>
        <v>0.3180555556</v>
      </c>
      <c r="K657" s="92">
        <f t="shared" si="10"/>
        <v>0.7305555556</v>
      </c>
      <c r="L657" s="92" t="str">
        <f>IFERROR(VLOOKUP(D657,'Công T5'!$C$7:$F$89,2,0),"")</f>
        <v/>
      </c>
      <c r="M657" s="92" t="str">
        <f>IFERROR(VLOOKUP(D657,'Công T5'!$C$7:$F$89,3,0),"")</f>
        <v/>
      </c>
      <c r="N657" s="92">
        <f t="shared" si="9"/>
        <v>0.3333333333</v>
      </c>
      <c r="O657" s="92">
        <f t="shared" si="2"/>
        <v>0.7083333333</v>
      </c>
      <c r="P657" s="94">
        <f t="shared" si="3"/>
        <v>0.5</v>
      </c>
      <c r="Q657" s="94">
        <f t="shared" si="4"/>
        <v>0.5</v>
      </c>
      <c r="R657" s="95">
        <f t="shared" si="5"/>
        <v>1</v>
      </c>
      <c r="S657" s="95">
        <f t="shared" si="6"/>
        <v>0</v>
      </c>
      <c r="T657" s="95">
        <f t="shared" si="7"/>
        <v>0</v>
      </c>
    </row>
    <row r="658">
      <c r="A658" s="96">
        <v>7.0</v>
      </c>
      <c r="B658" s="103">
        <v>44698.0</v>
      </c>
      <c r="C658" s="96">
        <v>10007.0</v>
      </c>
      <c r="D658" s="98" t="s">
        <v>66</v>
      </c>
      <c r="E658" s="98" t="s">
        <v>159</v>
      </c>
      <c r="F658" s="99">
        <v>0.325</v>
      </c>
      <c r="G658" s="99">
        <v>0.7097222222222223</v>
      </c>
      <c r="H658" s="101"/>
      <c r="I658" s="92" t="str">
        <f>IFERROR(VLOOKUP(D658,'Công T5'!$C$7:$F$89,4,0),"")</f>
        <v>HCTH</v>
      </c>
      <c r="J658" s="92">
        <f t="shared" si="8"/>
        <v>0.325</v>
      </c>
      <c r="K658" s="92">
        <f t="shared" si="10"/>
        <v>0.7097222222</v>
      </c>
      <c r="L658" s="92" t="str">
        <f>IFERROR(VLOOKUP(D658,'Công T5'!$C$7:$F$89,2,0),"")</f>
        <v/>
      </c>
      <c r="M658" s="92" t="str">
        <f>IFERROR(VLOOKUP(D658,'Công T5'!$C$7:$F$89,3,0),"")</f>
        <v/>
      </c>
      <c r="N658" s="92">
        <f t="shared" si="9"/>
        <v>0.3333333333</v>
      </c>
      <c r="O658" s="92">
        <f t="shared" si="2"/>
        <v>0.7083333333</v>
      </c>
      <c r="P658" s="94">
        <f t="shared" si="3"/>
        <v>0.5</v>
      </c>
      <c r="Q658" s="94">
        <f t="shared" si="4"/>
        <v>0.5</v>
      </c>
      <c r="R658" s="95">
        <f t="shared" si="5"/>
        <v>1</v>
      </c>
      <c r="S658" s="95">
        <f t="shared" si="6"/>
        <v>0</v>
      </c>
      <c r="T658" s="95">
        <f t="shared" si="7"/>
        <v>0</v>
      </c>
    </row>
    <row r="659">
      <c r="A659" s="96">
        <v>8.0</v>
      </c>
      <c r="B659" s="103">
        <v>44699.0</v>
      </c>
      <c r="C659" s="96">
        <v>10007.0</v>
      </c>
      <c r="D659" s="98" t="s">
        <v>66</v>
      </c>
      <c r="E659" s="98" t="s">
        <v>159</v>
      </c>
      <c r="F659" s="99">
        <v>0.32708333333333334</v>
      </c>
      <c r="G659" s="99">
        <v>0.7201388888888889</v>
      </c>
      <c r="H659" s="101"/>
      <c r="I659" s="92" t="str">
        <f>IFERROR(VLOOKUP(D659,'Công T5'!$C$7:$F$89,4,0),"")</f>
        <v>HCTH</v>
      </c>
      <c r="J659" s="92">
        <f t="shared" si="8"/>
        <v>0.3270833333</v>
      </c>
      <c r="K659" s="92">
        <f t="shared" si="10"/>
        <v>0.7201388889</v>
      </c>
      <c r="L659" s="92" t="str">
        <f>IFERROR(VLOOKUP(D659,'Công T5'!$C$7:$F$89,2,0),"")</f>
        <v/>
      </c>
      <c r="M659" s="92" t="str">
        <f>IFERROR(VLOOKUP(D659,'Công T5'!$C$7:$F$89,3,0),"")</f>
        <v/>
      </c>
      <c r="N659" s="92">
        <f t="shared" si="9"/>
        <v>0.3333333333</v>
      </c>
      <c r="O659" s="92">
        <f t="shared" si="2"/>
        <v>0.7083333333</v>
      </c>
      <c r="P659" s="94">
        <f t="shared" si="3"/>
        <v>0.5</v>
      </c>
      <c r="Q659" s="94">
        <f t="shared" si="4"/>
        <v>0.5</v>
      </c>
      <c r="R659" s="95">
        <f t="shared" si="5"/>
        <v>1</v>
      </c>
      <c r="S659" s="95">
        <f t="shared" si="6"/>
        <v>0</v>
      </c>
      <c r="T659" s="95">
        <f t="shared" si="7"/>
        <v>0</v>
      </c>
    </row>
    <row r="660">
      <c r="A660" s="96">
        <v>9.0</v>
      </c>
      <c r="B660" s="103">
        <v>44700.0</v>
      </c>
      <c r="C660" s="96">
        <v>10007.0</v>
      </c>
      <c r="D660" s="98" t="s">
        <v>66</v>
      </c>
      <c r="E660" s="98" t="s">
        <v>159</v>
      </c>
      <c r="F660" s="99">
        <v>0.33055555555555555</v>
      </c>
      <c r="G660" s="99">
        <v>0.6930555555555555</v>
      </c>
      <c r="H660" s="101"/>
      <c r="I660" s="92" t="str">
        <f>IFERROR(VLOOKUP(D660,'Công T5'!$C$7:$F$89,4,0),"")</f>
        <v>HCTH</v>
      </c>
      <c r="J660" s="92">
        <f t="shared" si="8"/>
        <v>0.3305555556</v>
      </c>
      <c r="K660" s="92">
        <f t="shared" si="10"/>
        <v>0.6930555556</v>
      </c>
      <c r="L660" s="92" t="str">
        <f>IFERROR(VLOOKUP(D660,'Công T5'!$C$7:$F$89,2,0),"")</f>
        <v/>
      </c>
      <c r="M660" s="92" t="str">
        <f>IFERROR(VLOOKUP(D660,'Công T5'!$C$7:$F$89,3,0),"")</f>
        <v/>
      </c>
      <c r="N660" s="92">
        <f t="shared" si="9"/>
        <v>0.3333333333</v>
      </c>
      <c r="O660" s="92">
        <f t="shared" si="2"/>
        <v>0.6930555556</v>
      </c>
      <c r="P660" s="94">
        <f t="shared" si="3"/>
        <v>0.5</v>
      </c>
      <c r="Q660" s="94">
        <f t="shared" si="4"/>
        <v>0.4541666667</v>
      </c>
      <c r="R660" s="95">
        <f t="shared" si="5"/>
        <v>0.9541666667</v>
      </c>
      <c r="S660" s="95">
        <f t="shared" si="6"/>
        <v>0</v>
      </c>
      <c r="T660" s="95">
        <f t="shared" si="7"/>
        <v>0</v>
      </c>
    </row>
    <row r="661">
      <c r="A661" s="96">
        <v>10.0</v>
      </c>
      <c r="B661" s="103">
        <v>44701.0</v>
      </c>
      <c r="C661" s="96">
        <v>10007.0</v>
      </c>
      <c r="D661" s="98" t="s">
        <v>66</v>
      </c>
      <c r="E661" s="98" t="s">
        <v>159</v>
      </c>
      <c r="F661" s="99">
        <v>0.3284722222222222</v>
      </c>
      <c r="G661" s="99">
        <v>0.7194444444444444</v>
      </c>
      <c r="H661" s="101"/>
      <c r="I661" s="92" t="str">
        <f>IFERROR(VLOOKUP(D661,'Công T5'!$C$7:$F$89,4,0),"")</f>
        <v>HCTH</v>
      </c>
      <c r="J661" s="92">
        <f t="shared" si="8"/>
        <v>0.3284722222</v>
      </c>
      <c r="K661" s="92">
        <f t="shared" si="10"/>
        <v>0.7194444444</v>
      </c>
      <c r="L661" s="92" t="str">
        <f>IFERROR(VLOOKUP(D661,'Công T5'!$C$7:$F$89,2,0),"")</f>
        <v/>
      </c>
      <c r="M661" s="92" t="str">
        <f>IFERROR(VLOOKUP(D661,'Công T5'!$C$7:$F$89,3,0),"")</f>
        <v/>
      </c>
      <c r="N661" s="92">
        <f t="shared" si="9"/>
        <v>0.3333333333</v>
      </c>
      <c r="O661" s="92">
        <f t="shared" si="2"/>
        <v>0.7083333333</v>
      </c>
      <c r="P661" s="94">
        <f t="shared" si="3"/>
        <v>0.5</v>
      </c>
      <c r="Q661" s="94">
        <f t="shared" si="4"/>
        <v>0.5</v>
      </c>
      <c r="R661" s="95">
        <f t="shared" si="5"/>
        <v>1</v>
      </c>
      <c r="S661" s="95">
        <f t="shared" si="6"/>
        <v>0</v>
      </c>
      <c r="T661" s="95">
        <f t="shared" si="7"/>
        <v>0</v>
      </c>
    </row>
    <row r="662">
      <c r="A662" s="96">
        <v>11.0</v>
      </c>
      <c r="B662" s="103">
        <v>44702.0</v>
      </c>
      <c r="C662" s="96">
        <v>10007.0</v>
      </c>
      <c r="D662" s="98" t="s">
        <v>66</v>
      </c>
      <c r="E662" s="98" t="s">
        <v>159</v>
      </c>
      <c r="F662" s="99">
        <v>0.3298611111111111</v>
      </c>
      <c r="G662" s="99">
        <v>0.7215277777777778</v>
      </c>
      <c r="H662" s="101"/>
      <c r="I662" s="92" t="str">
        <f>IFERROR(VLOOKUP(D662,'Công T5'!$C$7:$F$89,4,0),"")</f>
        <v>HCTH</v>
      </c>
      <c r="J662" s="92">
        <f t="shared" si="8"/>
        <v>0.3298611111</v>
      </c>
      <c r="K662" s="92">
        <f t="shared" si="10"/>
        <v>0.7215277778</v>
      </c>
      <c r="L662" s="92" t="str">
        <f>IFERROR(VLOOKUP(D662,'Công T5'!$C$7:$F$89,2,0),"")</f>
        <v/>
      </c>
      <c r="M662" s="92" t="str">
        <f>IFERROR(VLOOKUP(D662,'Công T5'!$C$7:$F$89,3,0),"")</f>
        <v/>
      </c>
      <c r="N662" s="92">
        <f t="shared" si="9"/>
        <v>0.3333333333</v>
      </c>
      <c r="O662" s="92">
        <f t="shared" si="2"/>
        <v>0.7083333333</v>
      </c>
      <c r="P662" s="94">
        <f t="shared" si="3"/>
        <v>0.5</v>
      </c>
      <c r="Q662" s="94">
        <f t="shared" si="4"/>
        <v>0.5</v>
      </c>
      <c r="R662" s="95">
        <f t="shared" si="5"/>
        <v>1</v>
      </c>
      <c r="S662" s="95">
        <f t="shared" si="6"/>
        <v>0</v>
      </c>
      <c r="T662" s="95">
        <f t="shared" si="7"/>
        <v>0</v>
      </c>
    </row>
    <row r="663">
      <c r="A663" s="96">
        <v>12.0</v>
      </c>
      <c r="B663" s="103">
        <v>44704.0</v>
      </c>
      <c r="C663" s="96">
        <v>10007.0</v>
      </c>
      <c r="D663" s="98" t="s">
        <v>66</v>
      </c>
      <c r="E663" s="98" t="s">
        <v>159</v>
      </c>
      <c r="F663" s="99">
        <v>0.33055555555555555</v>
      </c>
      <c r="G663" s="99">
        <v>0.7465277777777778</v>
      </c>
      <c r="H663" s="101"/>
      <c r="I663" s="92" t="str">
        <f>IFERROR(VLOOKUP(D663,'Công T5'!$C$7:$F$89,4,0),"")</f>
        <v>HCTH</v>
      </c>
      <c r="J663" s="92">
        <f t="shared" si="8"/>
        <v>0.3305555556</v>
      </c>
      <c r="K663" s="92">
        <f t="shared" si="10"/>
        <v>0.7465277778</v>
      </c>
      <c r="L663" s="92" t="str">
        <f>IFERROR(VLOOKUP(D663,'Công T5'!$C$7:$F$89,2,0),"")</f>
        <v/>
      </c>
      <c r="M663" s="92" t="str">
        <f>IFERROR(VLOOKUP(D663,'Công T5'!$C$7:$F$89,3,0),"")</f>
        <v/>
      </c>
      <c r="N663" s="92">
        <f t="shared" si="9"/>
        <v>0.3333333333</v>
      </c>
      <c r="O663" s="92">
        <f t="shared" si="2"/>
        <v>0.7083333333</v>
      </c>
      <c r="P663" s="94">
        <f t="shared" si="3"/>
        <v>0.5</v>
      </c>
      <c r="Q663" s="94">
        <f t="shared" si="4"/>
        <v>0.5</v>
      </c>
      <c r="R663" s="95">
        <f t="shared" si="5"/>
        <v>1</v>
      </c>
      <c r="S663" s="95">
        <f t="shared" si="6"/>
        <v>0</v>
      </c>
      <c r="T663" s="95">
        <f t="shared" si="7"/>
        <v>0</v>
      </c>
    </row>
    <row r="664">
      <c r="A664" s="96">
        <v>13.0</v>
      </c>
      <c r="B664" s="103">
        <v>44705.0</v>
      </c>
      <c r="C664" s="96">
        <v>10007.0</v>
      </c>
      <c r="D664" s="98" t="s">
        <v>66</v>
      </c>
      <c r="E664" s="98" t="s">
        <v>159</v>
      </c>
      <c r="F664" s="99">
        <v>0.3402777777777778</v>
      </c>
      <c r="G664" s="99">
        <v>0.7256944444444444</v>
      </c>
      <c r="H664" s="101"/>
      <c r="I664" s="92" t="str">
        <f>IFERROR(VLOOKUP(D664,'Công T5'!$C$7:$F$89,4,0),"")</f>
        <v>HCTH</v>
      </c>
      <c r="J664" s="92">
        <f t="shared" si="8"/>
        <v>0.3402777778</v>
      </c>
      <c r="K664" s="92">
        <f t="shared" si="10"/>
        <v>0.7256944444</v>
      </c>
      <c r="L664" s="92" t="str">
        <f>IFERROR(VLOOKUP(D664,'Công T5'!$C$7:$F$89,2,0),"")</f>
        <v/>
      </c>
      <c r="M664" s="92" t="str">
        <f>IFERROR(VLOOKUP(D664,'Công T5'!$C$7:$F$89,3,0),"")</f>
        <v/>
      </c>
      <c r="N664" s="92">
        <f t="shared" si="9"/>
        <v>0.3333333333</v>
      </c>
      <c r="O664" s="92">
        <f t="shared" si="2"/>
        <v>0.7083333333</v>
      </c>
      <c r="P664" s="94">
        <f t="shared" si="3"/>
        <v>0.5</v>
      </c>
      <c r="Q664" s="94">
        <f t="shared" si="4"/>
        <v>0.5</v>
      </c>
      <c r="R664" s="95">
        <f t="shared" si="5"/>
        <v>1</v>
      </c>
      <c r="S664" s="95">
        <f t="shared" si="6"/>
        <v>1</v>
      </c>
      <c r="T664" s="95">
        <f t="shared" si="7"/>
        <v>0</v>
      </c>
    </row>
    <row r="665">
      <c r="A665" s="96">
        <v>14.0</v>
      </c>
      <c r="B665" s="103">
        <v>44706.0</v>
      </c>
      <c r="C665" s="96">
        <v>10007.0</v>
      </c>
      <c r="D665" s="98" t="s">
        <v>66</v>
      </c>
      <c r="E665" s="98" t="s">
        <v>159</v>
      </c>
      <c r="F665" s="99">
        <v>0.33125</v>
      </c>
      <c r="G665" s="99">
        <v>0.7159722222222222</v>
      </c>
      <c r="H665" s="101"/>
      <c r="I665" s="92" t="str">
        <f>IFERROR(VLOOKUP(D665,'Công T5'!$C$7:$F$89,4,0),"")</f>
        <v>HCTH</v>
      </c>
      <c r="J665" s="92">
        <f t="shared" si="8"/>
        <v>0.33125</v>
      </c>
      <c r="K665" s="92">
        <f t="shared" si="10"/>
        <v>0.7159722222</v>
      </c>
      <c r="L665" s="92" t="str">
        <f>IFERROR(VLOOKUP(D665,'Công T5'!$C$7:$F$89,2,0),"")</f>
        <v/>
      </c>
      <c r="M665" s="92" t="str">
        <f>IFERROR(VLOOKUP(D665,'Công T5'!$C$7:$F$89,3,0),"")</f>
        <v/>
      </c>
      <c r="N665" s="92">
        <f t="shared" si="9"/>
        <v>0.3333333333</v>
      </c>
      <c r="O665" s="92">
        <f t="shared" si="2"/>
        <v>0.7083333333</v>
      </c>
      <c r="P665" s="94">
        <f t="shared" si="3"/>
        <v>0.5</v>
      </c>
      <c r="Q665" s="94">
        <f t="shared" si="4"/>
        <v>0.5</v>
      </c>
      <c r="R665" s="95">
        <f t="shared" si="5"/>
        <v>1</v>
      </c>
      <c r="S665" s="95">
        <f t="shared" si="6"/>
        <v>0</v>
      </c>
      <c r="T665" s="95">
        <f t="shared" si="7"/>
        <v>0</v>
      </c>
    </row>
    <row r="666">
      <c r="A666" s="96">
        <v>15.0</v>
      </c>
      <c r="B666" s="103">
        <v>44677.0</v>
      </c>
      <c r="C666" s="96">
        <v>10061.0</v>
      </c>
      <c r="D666" s="98" t="s">
        <v>68</v>
      </c>
      <c r="E666" s="98" t="s">
        <v>159</v>
      </c>
      <c r="F666" s="99">
        <v>0.24583333333333332</v>
      </c>
      <c r="G666" s="99">
        <v>0.7506944444444444</v>
      </c>
      <c r="H666" s="101"/>
      <c r="I666" s="92" t="str">
        <f>IFERROR(VLOOKUP(D666,'Công T5'!$C$7:$F$89,4,0),"")</f>
        <v>HCTH</v>
      </c>
      <c r="J666" s="92">
        <f t="shared" si="8"/>
        <v>0.2458333333</v>
      </c>
      <c r="K666" s="92">
        <f t="shared" si="10"/>
        <v>0.7506944444</v>
      </c>
      <c r="L666" s="92" t="str">
        <f>IFERROR(VLOOKUP(D666,'Công T5'!$C$7:$F$89,2,0),"")</f>
        <v/>
      </c>
      <c r="M666" s="92" t="str">
        <f>IFERROR(VLOOKUP(D666,'Công T5'!$C$7:$F$89,3,0),"")</f>
        <v/>
      </c>
      <c r="N666" s="92">
        <f t="shared" si="9"/>
        <v>0.3333333333</v>
      </c>
      <c r="O666" s="92">
        <f t="shared" si="2"/>
        <v>0.7083333333</v>
      </c>
      <c r="P666" s="94">
        <f t="shared" si="3"/>
        <v>0.5</v>
      </c>
      <c r="Q666" s="94">
        <f t="shared" si="4"/>
        <v>0.5</v>
      </c>
      <c r="R666" s="95">
        <f t="shared" si="5"/>
        <v>1</v>
      </c>
      <c r="S666" s="95">
        <f t="shared" si="6"/>
        <v>0</v>
      </c>
      <c r="T666" s="95">
        <f t="shared" si="7"/>
        <v>0</v>
      </c>
    </row>
    <row r="667">
      <c r="A667" s="96">
        <v>16.0</v>
      </c>
      <c r="B667" s="103">
        <v>44678.0</v>
      </c>
      <c r="C667" s="96">
        <v>10061.0</v>
      </c>
      <c r="D667" s="98" t="s">
        <v>68</v>
      </c>
      <c r="E667" s="98" t="s">
        <v>159</v>
      </c>
      <c r="F667" s="99">
        <v>0.25069444444444444</v>
      </c>
      <c r="G667" s="99">
        <v>0.7777777777777778</v>
      </c>
      <c r="H667" s="101"/>
      <c r="I667" s="92" t="str">
        <f>IFERROR(VLOOKUP(D667,'Công T5'!$C$7:$F$89,4,0),"")</f>
        <v>HCTH</v>
      </c>
      <c r="J667" s="92">
        <f t="shared" si="8"/>
        <v>0.2506944444</v>
      </c>
      <c r="K667" s="92">
        <f t="shared" si="10"/>
        <v>0.7777777778</v>
      </c>
      <c r="L667" s="92" t="str">
        <f>IFERROR(VLOOKUP(D667,'Công T5'!$C$7:$F$89,2,0),"")</f>
        <v/>
      </c>
      <c r="M667" s="92" t="str">
        <f>IFERROR(VLOOKUP(D667,'Công T5'!$C$7:$F$89,3,0),"")</f>
        <v/>
      </c>
      <c r="N667" s="92">
        <f t="shared" si="9"/>
        <v>0.3333333333</v>
      </c>
      <c r="O667" s="92">
        <f t="shared" si="2"/>
        <v>0.7083333333</v>
      </c>
      <c r="P667" s="94">
        <f t="shared" si="3"/>
        <v>0.5</v>
      </c>
      <c r="Q667" s="94">
        <f t="shared" si="4"/>
        <v>0.5</v>
      </c>
      <c r="R667" s="95">
        <f t="shared" si="5"/>
        <v>1</v>
      </c>
      <c r="S667" s="95">
        <f t="shared" si="6"/>
        <v>0</v>
      </c>
      <c r="T667" s="95">
        <f t="shared" si="7"/>
        <v>0</v>
      </c>
    </row>
    <row r="668">
      <c r="A668" s="96">
        <v>17.0</v>
      </c>
      <c r="B668" s="103">
        <v>44679.0</v>
      </c>
      <c r="C668" s="96">
        <v>10061.0</v>
      </c>
      <c r="D668" s="98" t="s">
        <v>68</v>
      </c>
      <c r="E668" s="98" t="s">
        <v>159</v>
      </c>
      <c r="F668" s="99">
        <v>0.24097222222222223</v>
      </c>
      <c r="G668" s="99">
        <v>0.7520833333333333</v>
      </c>
      <c r="H668" s="101"/>
      <c r="I668" s="92" t="str">
        <f>IFERROR(VLOOKUP(D668,'Công T5'!$C$7:$F$89,4,0),"")</f>
        <v>HCTH</v>
      </c>
      <c r="J668" s="92">
        <f t="shared" si="8"/>
        <v>0.2409722222</v>
      </c>
      <c r="K668" s="92">
        <f t="shared" si="10"/>
        <v>0.7520833333</v>
      </c>
      <c r="L668" s="92" t="str">
        <f>IFERROR(VLOOKUP(D668,'Công T5'!$C$7:$F$89,2,0),"")</f>
        <v/>
      </c>
      <c r="M668" s="92" t="str">
        <f>IFERROR(VLOOKUP(D668,'Công T5'!$C$7:$F$89,3,0),"")</f>
        <v/>
      </c>
      <c r="N668" s="92">
        <f t="shared" si="9"/>
        <v>0.3333333333</v>
      </c>
      <c r="O668" s="92">
        <f t="shared" si="2"/>
        <v>0.7083333333</v>
      </c>
      <c r="P668" s="94">
        <f t="shared" si="3"/>
        <v>0.5</v>
      </c>
      <c r="Q668" s="94">
        <f t="shared" si="4"/>
        <v>0.5</v>
      </c>
      <c r="R668" s="95">
        <f t="shared" si="5"/>
        <v>1</v>
      </c>
      <c r="S668" s="95">
        <f t="shared" si="6"/>
        <v>0</v>
      </c>
      <c r="T668" s="95">
        <f t="shared" si="7"/>
        <v>0</v>
      </c>
    </row>
    <row r="669">
      <c r="A669" s="96">
        <v>18.0</v>
      </c>
      <c r="B669" s="103">
        <v>44680.0</v>
      </c>
      <c r="C669" s="96">
        <v>10061.0</v>
      </c>
      <c r="D669" s="98" t="s">
        <v>68</v>
      </c>
      <c r="E669" s="98" t="s">
        <v>159</v>
      </c>
      <c r="F669" s="99">
        <v>0.24444444444444444</v>
      </c>
      <c r="G669" s="99">
        <v>0.89375</v>
      </c>
      <c r="H669" s="101"/>
      <c r="I669" s="92" t="str">
        <f>IFERROR(VLOOKUP(D669,'Công T5'!$C$7:$F$89,4,0),"")</f>
        <v>HCTH</v>
      </c>
      <c r="J669" s="92">
        <f t="shared" si="8"/>
        <v>0.2444444444</v>
      </c>
      <c r="K669" s="92">
        <f t="shared" si="10"/>
        <v>0.89375</v>
      </c>
      <c r="L669" s="92" t="str">
        <f>IFERROR(VLOOKUP(D669,'Công T5'!$C$7:$F$89,2,0),"")</f>
        <v/>
      </c>
      <c r="M669" s="92" t="str">
        <f>IFERROR(VLOOKUP(D669,'Công T5'!$C$7:$F$89,3,0),"")</f>
        <v/>
      </c>
      <c r="N669" s="92">
        <f t="shared" si="9"/>
        <v>0.3333333333</v>
      </c>
      <c r="O669" s="92">
        <f t="shared" si="2"/>
        <v>0.7083333333</v>
      </c>
      <c r="P669" s="94">
        <f t="shared" si="3"/>
        <v>0.5</v>
      </c>
      <c r="Q669" s="94">
        <f t="shared" si="4"/>
        <v>0.5</v>
      </c>
      <c r="R669" s="95">
        <f t="shared" si="5"/>
        <v>1</v>
      </c>
      <c r="S669" s="95">
        <f t="shared" si="6"/>
        <v>0</v>
      </c>
      <c r="T669" s="95">
        <f t="shared" si="7"/>
        <v>0</v>
      </c>
    </row>
    <row r="670">
      <c r="A670" s="96">
        <v>19.0</v>
      </c>
      <c r="B670" s="103">
        <v>44685.0</v>
      </c>
      <c r="C670" s="96">
        <v>10061.0</v>
      </c>
      <c r="D670" s="98" t="s">
        <v>68</v>
      </c>
      <c r="E670" s="98" t="s">
        <v>159</v>
      </c>
      <c r="F670" s="99">
        <v>0.2625</v>
      </c>
      <c r="G670" s="99">
        <v>0.7743055555555556</v>
      </c>
      <c r="H670" s="101"/>
      <c r="I670" s="92" t="str">
        <f>IFERROR(VLOOKUP(D670,'Công T5'!$C$7:$F$89,4,0),"")</f>
        <v>HCTH</v>
      </c>
      <c r="J670" s="92">
        <f t="shared" si="8"/>
        <v>0.2625</v>
      </c>
      <c r="K670" s="92">
        <f t="shared" si="10"/>
        <v>0.7743055556</v>
      </c>
      <c r="L670" s="92" t="str">
        <f>IFERROR(VLOOKUP(D670,'Công T5'!$C$7:$F$89,2,0),"")</f>
        <v/>
      </c>
      <c r="M670" s="92" t="str">
        <f>IFERROR(VLOOKUP(D670,'Công T5'!$C$7:$F$89,3,0),"")</f>
        <v/>
      </c>
      <c r="N670" s="92">
        <f t="shared" si="9"/>
        <v>0.3333333333</v>
      </c>
      <c r="O670" s="92">
        <f t="shared" si="2"/>
        <v>0.7083333333</v>
      </c>
      <c r="P670" s="94">
        <f t="shared" si="3"/>
        <v>0.5</v>
      </c>
      <c r="Q670" s="94">
        <f t="shared" si="4"/>
        <v>0.5</v>
      </c>
      <c r="R670" s="95">
        <f t="shared" si="5"/>
        <v>1</v>
      </c>
      <c r="S670" s="95">
        <f t="shared" si="6"/>
        <v>0</v>
      </c>
      <c r="T670" s="95">
        <f t="shared" si="7"/>
        <v>0</v>
      </c>
    </row>
    <row r="671">
      <c r="A671" s="96">
        <v>20.0</v>
      </c>
      <c r="B671" s="103">
        <v>44686.0</v>
      </c>
      <c r="C671" s="96">
        <v>10061.0</v>
      </c>
      <c r="D671" s="98" t="s">
        <v>68</v>
      </c>
      <c r="E671" s="98" t="s">
        <v>159</v>
      </c>
      <c r="F671" s="99">
        <v>0.2298611111111111</v>
      </c>
      <c r="G671" s="99">
        <v>0.7402777777777778</v>
      </c>
      <c r="H671" s="101"/>
      <c r="I671" s="92" t="str">
        <f>IFERROR(VLOOKUP(D671,'Công T5'!$C$7:$F$89,4,0),"")</f>
        <v>HCTH</v>
      </c>
      <c r="J671" s="92">
        <f t="shared" si="8"/>
        <v>0.2298611111</v>
      </c>
      <c r="K671" s="92">
        <f t="shared" si="10"/>
        <v>0.7402777778</v>
      </c>
      <c r="L671" s="92" t="str">
        <f>IFERROR(VLOOKUP(D671,'Công T5'!$C$7:$F$89,2,0),"")</f>
        <v/>
      </c>
      <c r="M671" s="92" t="str">
        <f>IFERROR(VLOOKUP(D671,'Công T5'!$C$7:$F$89,3,0),"")</f>
        <v/>
      </c>
      <c r="N671" s="92">
        <f t="shared" si="9"/>
        <v>0.3333333333</v>
      </c>
      <c r="O671" s="92">
        <f t="shared" si="2"/>
        <v>0.7083333333</v>
      </c>
      <c r="P671" s="94">
        <f t="shared" si="3"/>
        <v>0.5</v>
      </c>
      <c r="Q671" s="94">
        <f t="shared" si="4"/>
        <v>0.5</v>
      </c>
      <c r="R671" s="95">
        <f t="shared" si="5"/>
        <v>1</v>
      </c>
      <c r="S671" s="95">
        <f t="shared" si="6"/>
        <v>0</v>
      </c>
      <c r="T671" s="95">
        <f t="shared" si="7"/>
        <v>0</v>
      </c>
    </row>
    <row r="672">
      <c r="A672" s="96">
        <v>21.0</v>
      </c>
      <c r="B672" s="103">
        <v>44687.0</v>
      </c>
      <c r="C672" s="96">
        <v>10061.0</v>
      </c>
      <c r="D672" s="98" t="s">
        <v>68</v>
      </c>
      <c r="E672" s="98" t="s">
        <v>159</v>
      </c>
      <c r="F672" s="99">
        <v>0.23402777777777778</v>
      </c>
      <c r="G672" s="99">
        <v>0.7534722222222222</v>
      </c>
      <c r="H672" s="101"/>
      <c r="I672" s="92" t="str">
        <f>IFERROR(VLOOKUP(D672,'Công T5'!$C$7:$F$89,4,0),"")</f>
        <v>HCTH</v>
      </c>
      <c r="J672" s="92">
        <f t="shared" si="8"/>
        <v>0.2340277778</v>
      </c>
      <c r="K672" s="92">
        <f t="shared" si="10"/>
        <v>0.7534722222</v>
      </c>
      <c r="L672" s="92" t="str">
        <f>IFERROR(VLOOKUP(D672,'Công T5'!$C$7:$F$89,2,0),"")</f>
        <v/>
      </c>
      <c r="M672" s="92" t="str">
        <f>IFERROR(VLOOKUP(D672,'Công T5'!$C$7:$F$89,3,0),"")</f>
        <v/>
      </c>
      <c r="N672" s="92">
        <f t="shared" si="9"/>
        <v>0.3333333333</v>
      </c>
      <c r="O672" s="92">
        <f t="shared" si="2"/>
        <v>0.7083333333</v>
      </c>
      <c r="P672" s="94">
        <f t="shared" si="3"/>
        <v>0.5</v>
      </c>
      <c r="Q672" s="94">
        <f t="shared" si="4"/>
        <v>0.5</v>
      </c>
      <c r="R672" s="95">
        <f t="shared" si="5"/>
        <v>1</v>
      </c>
      <c r="S672" s="95">
        <f t="shared" si="6"/>
        <v>0</v>
      </c>
      <c r="T672" s="95">
        <f t="shared" si="7"/>
        <v>0</v>
      </c>
    </row>
    <row r="673">
      <c r="A673" s="96">
        <v>22.0</v>
      </c>
      <c r="B673" s="103">
        <v>44688.0</v>
      </c>
      <c r="C673" s="96">
        <v>10061.0</v>
      </c>
      <c r="D673" s="98" t="s">
        <v>68</v>
      </c>
      <c r="E673" s="98" t="s">
        <v>159</v>
      </c>
      <c r="F673" s="99">
        <v>0.23194444444444445</v>
      </c>
      <c r="G673" s="99">
        <v>0.7465277777777778</v>
      </c>
      <c r="H673" s="101"/>
      <c r="I673" s="92" t="str">
        <f>IFERROR(VLOOKUP(D673,'Công T5'!$C$7:$F$89,4,0),"")</f>
        <v>HCTH</v>
      </c>
      <c r="J673" s="92">
        <f t="shared" si="8"/>
        <v>0.2319444444</v>
      </c>
      <c r="K673" s="92">
        <f t="shared" si="10"/>
        <v>0.7465277778</v>
      </c>
      <c r="L673" s="92" t="str">
        <f>IFERROR(VLOOKUP(D673,'Công T5'!$C$7:$F$89,2,0),"")</f>
        <v/>
      </c>
      <c r="M673" s="92" t="str">
        <f>IFERROR(VLOOKUP(D673,'Công T5'!$C$7:$F$89,3,0),"")</f>
        <v/>
      </c>
      <c r="N673" s="92">
        <f t="shared" si="9"/>
        <v>0.3333333333</v>
      </c>
      <c r="O673" s="92">
        <f t="shared" si="2"/>
        <v>0.7083333333</v>
      </c>
      <c r="P673" s="94">
        <f t="shared" si="3"/>
        <v>0.5</v>
      </c>
      <c r="Q673" s="94">
        <f t="shared" si="4"/>
        <v>0.5</v>
      </c>
      <c r="R673" s="95">
        <f t="shared" si="5"/>
        <v>1</v>
      </c>
      <c r="S673" s="95">
        <f t="shared" si="6"/>
        <v>0</v>
      </c>
      <c r="T673" s="95">
        <f t="shared" si="7"/>
        <v>0</v>
      </c>
    </row>
    <row r="674">
      <c r="A674" s="96">
        <v>23.0</v>
      </c>
      <c r="B674" s="103">
        <v>44688.0</v>
      </c>
      <c r="C674" s="96">
        <v>10061.0</v>
      </c>
      <c r="D674" s="98" t="s">
        <v>68</v>
      </c>
      <c r="E674" s="98" t="s">
        <v>159</v>
      </c>
      <c r="F674" s="99">
        <v>0.7784722222222222</v>
      </c>
      <c r="G674" s="102"/>
      <c r="H674" s="101"/>
      <c r="I674" s="92" t="str">
        <f>IFERROR(VLOOKUP(D674,'Công T5'!$C$7:$F$89,4,0),"")</f>
        <v>HCTH</v>
      </c>
      <c r="J674" s="92">
        <f t="shared" si="8"/>
        <v>0.7784722222</v>
      </c>
      <c r="K674" s="92" t="str">
        <f t="shared" si="10"/>
        <v/>
      </c>
      <c r="L674" s="92" t="str">
        <f>IFERROR(VLOOKUP(D674,'Công T5'!$C$7:$F$89,2,0),"")</f>
        <v/>
      </c>
      <c r="M674" s="92" t="str">
        <f>IFERROR(VLOOKUP(D674,'Công T5'!$C$7:$F$89,3,0),"")</f>
        <v/>
      </c>
      <c r="N674" s="92">
        <f t="shared" si="9"/>
        <v>0.7784722222</v>
      </c>
      <c r="O674" s="92" t="str">
        <f t="shared" si="2"/>
        <v/>
      </c>
      <c r="P674" s="94">
        <f t="shared" si="3"/>
        <v>0</v>
      </c>
      <c r="Q674" s="94" t="str">
        <f t="shared" si="4"/>
        <v/>
      </c>
      <c r="R674" s="95">
        <f t="shared" si="5"/>
        <v>0.5</v>
      </c>
      <c r="S674" s="95" t="str">
        <f t="shared" si="6"/>
        <v/>
      </c>
      <c r="T674" s="95">
        <f t="shared" si="7"/>
        <v>1</v>
      </c>
    </row>
    <row r="675">
      <c r="A675" s="96">
        <v>24.0</v>
      </c>
      <c r="B675" s="103">
        <v>44690.0</v>
      </c>
      <c r="C675" s="96">
        <v>10061.0</v>
      </c>
      <c r="D675" s="98" t="s">
        <v>68</v>
      </c>
      <c r="E675" s="98" t="s">
        <v>159</v>
      </c>
      <c r="F675" s="99">
        <v>0.23472222222222222</v>
      </c>
      <c r="G675" s="99">
        <v>0.7430555555555556</v>
      </c>
      <c r="H675" s="101"/>
      <c r="I675" s="92" t="str">
        <f>IFERROR(VLOOKUP(D675,'Công T5'!$C$7:$F$89,4,0),"")</f>
        <v>HCTH</v>
      </c>
      <c r="J675" s="92">
        <f t="shared" si="8"/>
        <v>0.2347222222</v>
      </c>
      <c r="K675" s="92">
        <f t="shared" si="10"/>
        <v>0.7430555556</v>
      </c>
      <c r="L675" s="92" t="str">
        <f>IFERROR(VLOOKUP(D675,'Công T5'!$C$7:$F$89,2,0),"")</f>
        <v/>
      </c>
      <c r="M675" s="92" t="str">
        <f>IFERROR(VLOOKUP(D675,'Công T5'!$C$7:$F$89,3,0),"")</f>
        <v/>
      </c>
      <c r="N675" s="92">
        <f t="shared" si="9"/>
        <v>0.3333333333</v>
      </c>
      <c r="O675" s="92">
        <f t="shared" si="2"/>
        <v>0.7083333333</v>
      </c>
      <c r="P675" s="94">
        <f t="shared" si="3"/>
        <v>0.5</v>
      </c>
      <c r="Q675" s="94">
        <f t="shared" si="4"/>
        <v>0.5</v>
      </c>
      <c r="R675" s="95">
        <f t="shared" si="5"/>
        <v>1</v>
      </c>
      <c r="S675" s="95">
        <f t="shared" si="6"/>
        <v>0</v>
      </c>
      <c r="T675" s="95">
        <f t="shared" si="7"/>
        <v>0</v>
      </c>
    </row>
    <row r="676">
      <c r="A676" s="96">
        <v>25.0</v>
      </c>
      <c r="B676" s="103">
        <v>44691.0</v>
      </c>
      <c r="C676" s="96">
        <v>10061.0</v>
      </c>
      <c r="D676" s="98" t="s">
        <v>68</v>
      </c>
      <c r="E676" s="98" t="s">
        <v>159</v>
      </c>
      <c r="F676" s="99">
        <v>0.23055555555555557</v>
      </c>
      <c r="G676" s="99">
        <v>0.7555555555555555</v>
      </c>
      <c r="H676" s="101"/>
      <c r="I676" s="92" t="str">
        <f>IFERROR(VLOOKUP(D676,'Công T5'!$C$7:$F$89,4,0),"")</f>
        <v>HCTH</v>
      </c>
      <c r="J676" s="92">
        <f t="shared" si="8"/>
        <v>0.2305555556</v>
      </c>
      <c r="K676" s="92">
        <f t="shared" si="10"/>
        <v>0.7555555556</v>
      </c>
      <c r="L676" s="92" t="str">
        <f>IFERROR(VLOOKUP(D676,'Công T5'!$C$7:$F$89,2,0),"")</f>
        <v/>
      </c>
      <c r="M676" s="92" t="str">
        <f>IFERROR(VLOOKUP(D676,'Công T5'!$C$7:$F$89,3,0),"")</f>
        <v/>
      </c>
      <c r="N676" s="92">
        <f t="shared" si="9"/>
        <v>0.3333333333</v>
      </c>
      <c r="O676" s="92">
        <f t="shared" si="2"/>
        <v>0.7083333333</v>
      </c>
      <c r="P676" s="94">
        <f t="shared" si="3"/>
        <v>0.5</v>
      </c>
      <c r="Q676" s="94">
        <f t="shared" si="4"/>
        <v>0.5</v>
      </c>
      <c r="R676" s="95">
        <f t="shared" si="5"/>
        <v>1</v>
      </c>
      <c r="S676" s="95">
        <f t="shared" si="6"/>
        <v>0</v>
      </c>
      <c r="T676" s="95">
        <f t="shared" si="7"/>
        <v>0</v>
      </c>
    </row>
    <row r="677">
      <c r="A677" s="96">
        <v>26.0</v>
      </c>
      <c r="B677" s="103">
        <v>44691.0</v>
      </c>
      <c r="C677" s="96">
        <v>10061.0</v>
      </c>
      <c r="D677" s="98" t="s">
        <v>68</v>
      </c>
      <c r="E677" s="98" t="s">
        <v>159</v>
      </c>
      <c r="F677" s="99">
        <v>0.8097222222222222</v>
      </c>
      <c r="G677" s="102"/>
      <c r="H677" s="101"/>
      <c r="I677" s="92" t="str">
        <f>IFERROR(VLOOKUP(D677,'Công T5'!$C$7:$F$89,4,0),"")</f>
        <v>HCTH</v>
      </c>
      <c r="J677" s="92">
        <f t="shared" si="8"/>
        <v>0.8097222222</v>
      </c>
      <c r="K677" s="92" t="str">
        <f t="shared" si="10"/>
        <v/>
      </c>
      <c r="L677" s="92" t="str">
        <f>IFERROR(VLOOKUP(D677,'Công T5'!$C$7:$F$89,2,0),"")</f>
        <v/>
      </c>
      <c r="M677" s="92" t="str">
        <f>IFERROR(VLOOKUP(D677,'Công T5'!$C$7:$F$89,3,0),"")</f>
        <v/>
      </c>
      <c r="N677" s="92">
        <f t="shared" si="9"/>
        <v>0.8097222222</v>
      </c>
      <c r="O677" s="92" t="str">
        <f t="shared" si="2"/>
        <v/>
      </c>
      <c r="P677" s="94">
        <f t="shared" si="3"/>
        <v>0</v>
      </c>
      <c r="Q677" s="94" t="str">
        <f t="shared" si="4"/>
        <v/>
      </c>
      <c r="R677" s="95">
        <f t="shared" si="5"/>
        <v>0.5</v>
      </c>
      <c r="S677" s="95" t="str">
        <f t="shared" si="6"/>
        <v/>
      </c>
      <c r="T677" s="95">
        <f t="shared" si="7"/>
        <v>1</v>
      </c>
    </row>
    <row r="678">
      <c r="A678" s="96">
        <v>27.0</v>
      </c>
      <c r="B678" s="103">
        <v>44692.0</v>
      </c>
      <c r="C678" s="96">
        <v>10061.0</v>
      </c>
      <c r="D678" s="98" t="s">
        <v>68</v>
      </c>
      <c r="E678" s="98" t="s">
        <v>159</v>
      </c>
      <c r="F678" s="99">
        <v>0.22708333333333333</v>
      </c>
      <c r="G678" s="99">
        <v>0.7458333333333333</v>
      </c>
      <c r="H678" s="101"/>
      <c r="I678" s="92" t="str">
        <f>IFERROR(VLOOKUP(D678,'Công T5'!$C$7:$F$89,4,0),"")</f>
        <v>HCTH</v>
      </c>
      <c r="J678" s="92">
        <f t="shared" si="8"/>
        <v>0.2270833333</v>
      </c>
      <c r="K678" s="92">
        <f t="shared" si="10"/>
        <v>0.7458333333</v>
      </c>
      <c r="L678" s="92" t="str">
        <f>IFERROR(VLOOKUP(D678,'Công T5'!$C$7:$F$89,2,0),"")</f>
        <v/>
      </c>
      <c r="M678" s="92" t="str">
        <f>IFERROR(VLOOKUP(D678,'Công T5'!$C$7:$F$89,3,0),"")</f>
        <v/>
      </c>
      <c r="N678" s="92">
        <f t="shared" si="9"/>
        <v>0.3333333333</v>
      </c>
      <c r="O678" s="92">
        <f t="shared" si="2"/>
        <v>0.7083333333</v>
      </c>
      <c r="P678" s="94">
        <f t="shared" si="3"/>
        <v>0.5</v>
      </c>
      <c r="Q678" s="94">
        <f t="shared" si="4"/>
        <v>0.5</v>
      </c>
      <c r="R678" s="95">
        <f t="shared" si="5"/>
        <v>1</v>
      </c>
      <c r="S678" s="95">
        <f t="shared" si="6"/>
        <v>0</v>
      </c>
      <c r="T678" s="95">
        <f t="shared" si="7"/>
        <v>0</v>
      </c>
    </row>
    <row r="679">
      <c r="A679" s="96">
        <v>28.0</v>
      </c>
      <c r="B679" s="103">
        <v>44693.0</v>
      </c>
      <c r="C679" s="96">
        <v>10061.0</v>
      </c>
      <c r="D679" s="98" t="s">
        <v>68</v>
      </c>
      <c r="E679" s="98" t="s">
        <v>159</v>
      </c>
      <c r="F679" s="99">
        <v>0.2375</v>
      </c>
      <c r="G679" s="99">
        <v>0.74375</v>
      </c>
      <c r="H679" s="101"/>
      <c r="I679" s="92" t="str">
        <f>IFERROR(VLOOKUP(D679,'Công T5'!$C$7:$F$89,4,0),"")</f>
        <v>HCTH</v>
      </c>
      <c r="J679" s="92">
        <f t="shared" si="8"/>
        <v>0.2375</v>
      </c>
      <c r="K679" s="92">
        <f t="shared" si="10"/>
        <v>0.74375</v>
      </c>
      <c r="L679" s="92" t="str">
        <f>IFERROR(VLOOKUP(D679,'Công T5'!$C$7:$F$89,2,0),"")</f>
        <v/>
      </c>
      <c r="M679" s="92" t="str">
        <f>IFERROR(VLOOKUP(D679,'Công T5'!$C$7:$F$89,3,0),"")</f>
        <v/>
      </c>
      <c r="N679" s="92">
        <f t="shared" si="9"/>
        <v>0.3333333333</v>
      </c>
      <c r="O679" s="92">
        <f t="shared" si="2"/>
        <v>0.7083333333</v>
      </c>
      <c r="P679" s="94">
        <f t="shared" si="3"/>
        <v>0.5</v>
      </c>
      <c r="Q679" s="94">
        <f t="shared" si="4"/>
        <v>0.5</v>
      </c>
      <c r="R679" s="95">
        <f t="shared" si="5"/>
        <v>1</v>
      </c>
      <c r="S679" s="95">
        <f t="shared" si="6"/>
        <v>0</v>
      </c>
      <c r="T679" s="95">
        <f t="shared" si="7"/>
        <v>0</v>
      </c>
    </row>
    <row r="680">
      <c r="A680" s="96">
        <v>29.0</v>
      </c>
      <c r="B680" s="103">
        <v>44694.0</v>
      </c>
      <c r="C680" s="96">
        <v>10061.0</v>
      </c>
      <c r="D680" s="98" t="s">
        <v>68</v>
      </c>
      <c r="E680" s="98" t="s">
        <v>159</v>
      </c>
      <c r="F680" s="99">
        <v>0.22569444444444445</v>
      </c>
      <c r="G680" s="99">
        <v>0.74375</v>
      </c>
      <c r="H680" s="101"/>
      <c r="I680" s="92" t="str">
        <f>IFERROR(VLOOKUP(D680,'Công T5'!$C$7:$F$89,4,0),"")</f>
        <v>HCTH</v>
      </c>
      <c r="J680" s="92">
        <f t="shared" si="8"/>
        <v>0.2256944444</v>
      </c>
      <c r="K680" s="92">
        <f t="shared" si="10"/>
        <v>0.74375</v>
      </c>
      <c r="L680" s="92" t="str">
        <f>IFERROR(VLOOKUP(D680,'Công T5'!$C$7:$F$89,2,0),"")</f>
        <v/>
      </c>
      <c r="M680" s="92" t="str">
        <f>IFERROR(VLOOKUP(D680,'Công T5'!$C$7:$F$89,3,0),"")</f>
        <v/>
      </c>
      <c r="N680" s="92">
        <f t="shared" si="9"/>
        <v>0.3333333333</v>
      </c>
      <c r="O680" s="92">
        <f t="shared" si="2"/>
        <v>0.7083333333</v>
      </c>
      <c r="P680" s="94">
        <f t="shared" si="3"/>
        <v>0.5</v>
      </c>
      <c r="Q680" s="94">
        <f t="shared" si="4"/>
        <v>0.5</v>
      </c>
      <c r="R680" s="95">
        <f t="shared" si="5"/>
        <v>1</v>
      </c>
      <c r="S680" s="95">
        <f t="shared" si="6"/>
        <v>0</v>
      </c>
      <c r="T680" s="95">
        <f t="shared" si="7"/>
        <v>0</v>
      </c>
    </row>
    <row r="681">
      <c r="A681" s="96">
        <v>30.0</v>
      </c>
      <c r="B681" s="103">
        <v>44696.0</v>
      </c>
      <c r="C681" s="96">
        <v>10061.0</v>
      </c>
      <c r="D681" s="98" t="s">
        <v>68</v>
      </c>
      <c r="E681" s="98" t="s">
        <v>159</v>
      </c>
      <c r="F681" s="99">
        <v>0.3923611111111111</v>
      </c>
      <c r="G681" s="102"/>
      <c r="H681" s="101"/>
      <c r="I681" s="92" t="str">
        <f>IFERROR(VLOOKUP(D681,'Công T5'!$C$7:$F$89,4,0),"")</f>
        <v>HCTH</v>
      </c>
      <c r="J681" s="92">
        <f t="shared" si="8"/>
        <v>0.3923611111</v>
      </c>
      <c r="K681" s="92" t="str">
        <f t="shared" si="10"/>
        <v/>
      </c>
      <c r="L681" s="92" t="str">
        <f>IFERROR(VLOOKUP(D681,'Công T5'!$C$7:$F$89,2,0),"")</f>
        <v/>
      </c>
      <c r="M681" s="92" t="str">
        <f>IFERROR(VLOOKUP(D681,'Công T5'!$C$7:$F$89,3,0),"")</f>
        <v/>
      </c>
      <c r="N681" s="92">
        <f t="shared" si="9"/>
        <v>0.3923611111</v>
      </c>
      <c r="O681" s="92" t="str">
        <f t="shared" si="2"/>
        <v/>
      </c>
      <c r="P681" s="94">
        <f t="shared" si="3"/>
        <v>0</v>
      </c>
      <c r="Q681" s="94" t="str">
        <f t="shared" si="4"/>
        <v/>
      </c>
      <c r="R681" s="95">
        <f t="shared" si="5"/>
        <v>0.5</v>
      </c>
      <c r="S681" s="95" t="str">
        <f t="shared" si="6"/>
        <v/>
      </c>
      <c r="T681" s="95">
        <f t="shared" si="7"/>
        <v>1</v>
      </c>
    </row>
    <row r="682">
      <c r="A682" s="96">
        <v>31.0</v>
      </c>
      <c r="B682" s="103">
        <v>44697.0</v>
      </c>
      <c r="C682" s="96">
        <v>10061.0</v>
      </c>
      <c r="D682" s="98" t="s">
        <v>68</v>
      </c>
      <c r="E682" s="98" t="s">
        <v>159</v>
      </c>
      <c r="F682" s="99">
        <v>0.25277777777777777</v>
      </c>
      <c r="G682" s="99">
        <v>0.7729166666666667</v>
      </c>
      <c r="H682" s="101"/>
      <c r="I682" s="92" t="str">
        <f>IFERROR(VLOOKUP(D682,'Công T5'!$C$7:$F$89,4,0),"")</f>
        <v>HCTH</v>
      </c>
      <c r="J682" s="92">
        <f t="shared" si="8"/>
        <v>0.2527777778</v>
      </c>
      <c r="K682" s="92">
        <f t="shared" si="10"/>
        <v>0.7729166667</v>
      </c>
      <c r="L682" s="92" t="str">
        <f>IFERROR(VLOOKUP(D682,'Công T5'!$C$7:$F$89,2,0),"")</f>
        <v/>
      </c>
      <c r="M682" s="92" t="str">
        <f>IFERROR(VLOOKUP(D682,'Công T5'!$C$7:$F$89,3,0),"")</f>
        <v/>
      </c>
      <c r="N682" s="92">
        <f t="shared" si="9"/>
        <v>0.3333333333</v>
      </c>
      <c r="O682" s="92">
        <f t="shared" si="2"/>
        <v>0.7083333333</v>
      </c>
      <c r="P682" s="94">
        <f t="shared" si="3"/>
        <v>0.5</v>
      </c>
      <c r="Q682" s="94">
        <f t="shared" si="4"/>
        <v>0.5</v>
      </c>
      <c r="R682" s="95">
        <f t="shared" si="5"/>
        <v>1</v>
      </c>
      <c r="S682" s="95">
        <f t="shared" si="6"/>
        <v>0</v>
      </c>
      <c r="T682" s="95">
        <f t="shared" si="7"/>
        <v>0</v>
      </c>
    </row>
    <row r="683">
      <c r="A683" s="96">
        <v>32.0</v>
      </c>
      <c r="B683" s="103">
        <v>44698.0</v>
      </c>
      <c r="C683" s="96">
        <v>10061.0</v>
      </c>
      <c r="D683" s="98" t="s">
        <v>68</v>
      </c>
      <c r="E683" s="98" t="s">
        <v>159</v>
      </c>
      <c r="F683" s="99">
        <v>0.23333333333333334</v>
      </c>
      <c r="G683" s="99">
        <v>0.8694444444444445</v>
      </c>
      <c r="H683" s="101"/>
      <c r="I683" s="92" t="str">
        <f>IFERROR(VLOOKUP(D683,'Công T5'!$C$7:$F$89,4,0),"")</f>
        <v>HCTH</v>
      </c>
      <c r="J683" s="92">
        <f t="shared" si="8"/>
        <v>0.2333333333</v>
      </c>
      <c r="K683" s="92">
        <f t="shared" si="10"/>
        <v>0.8694444444</v>
      </c>
      <c r="L683" s="92" t="str">
        <f>IFERROR(VLOOKUP(D683,'Công T5'!$C$7:$F$89,2,0),"")</f>
        <v/>
      </c>
      <c r="M683" s="92" t="str">
        <f>IFERROR(VLOOKUP(D683,'Công T5'!$C$7:$F$89,3,0),"")</f>
        <v/>
      </c>
      <c r="N683" s="92">
        <f t="shared" si="9"/>
        <v>0.3333333333</v>
      </c>
      <c r="O683" s="92">
        <f t="shared" si="2"/>
        <v>0.7083333333</v>
      </c>
      <c r="P683" s="94">
        <f t="shared" si="3"/>
        <v>0.5</v>
      </c>
      <c r="Q683" s="94">
        <f t="shared" si="4"/>
        <v>0.5</v>
      </c>
      <c r="R683" s="95">
        <f t="shared" si="5"/>
        <v>1</v>
      </c>
      <c r="S683" s="95">
        <f t="shared" si="6"/>
        <v>0</v>
      </c>
      <c r="T683" s="95">
        <f t="shared" si="7"/>
        <v>0</v>
      </c>
    </row>
    <row r="684">
      <c r="A684" s="96">
        <v>33.0</v>
      </c>
      <c r="B684" s="103">
        <v>44699.0</v>
      </c>
      <c r="C684" s="96">
        <v>10061.0</v>
      </c>
      <c r="D684" s="98" t="s">
        <v>68</v>
      </c>
      <c r="E684" s="98" t="s">
        <v>159</v>
      </c>
      <c r="F684" s="99">
        <v>0.8430555555555556</v>
      </c>
      <c r="G684" s="102"/>
      <c r="H684" s="101"/>
      <c r="I684" s="92" t="str">
        <f>IFERROR(VLOOKUP(D684,'Công T5'!$C$7:$F$89,4,0),"")</f>
        <v>HCTH</v>
      </c>
      <c r="J684" s="92">
        <f t="shared" si="8"/>
        <v>0.8430555556</v>
      </c>
      <c r="K684" s="92" t="str">
        <f t="shared" si="10"/>
        <v/>
      </c>
      <c r="L684" s="92" t="str">
        <f>IFERROR(VLOOKUP(D684,'Công T5'!$C$7:$F$89,2,0),"")</f>
        <v/>
      </c>
      <c r="M684" s="92" t="str">
        <f>IFERROR(VLOOKUP(D684,'Công T5'!$C$7:$F$89,3,0),"")</f>
        <v/>
      </c>
      <c r="N684" s="92">
        <f t="shared" si="9"/>
        <v>0.8430555556</v>
      </c>
      <c r="O684" s="92" t="str">
        <f t="shared" si="2"/>
        <v/>
      </c>
      <c r="P684" s="94">
        <f t="shared" si="3"/>
        <v>0</v>
      </c>
      <c r="Q684" s="94" t="str">
        <f t="shared" si="4"/>
        <v/>
      </c>
      <c r="R684" s="95">
        <f t="shared" si="5"/>
        <v>0.5</v>
      </c>
      <c r="S684" s="95" t="str">
        <f t="shared" si="6"/>
        <v/>
      </c>
      <c r="T684" s="95">
        <f t="shared" si="7"/>
        <v>1</v>
      </c>
    </row>
    <row r="685">
      <c r="A685" s="96">
        <v>34.0</v>
      </c>
      <c r="B685" s="103">
        <v>44700.0</v>
      </c>
      <c r="C685" s="96">
        <v>10061.0</v>
      </c>
      <c r="D685" s="98" t="s">
        <v>68</v>
      </c>
      <c r="E685" s="98" t="s">
        <v>159</v>
      </c>
      <c r="F685" s="99">
        <v>0.2361111111111111</v>
      </c>
      <c r="G685" s="99">
        <v>0.7527777777777778</v>
      </c>
      <c r="H685" s="101"/>
      <c r="I685" s="92" t="str">
        <f>IFERROR(VLOOKUP(D685,'Công T5'!$C$7:$F$89,4,0),"")</f>
        <v>HCTH</v>
      </c>
      <c r="J685" s="92">
        <f t="shared" si="8"/>
        <v>0.2361111111</v>
      </c>
      <c r="K685" s="92">
        <f t="shared" si="10"/>
        <v>0.7527777778</v>
      </c>
      <c r="L685" s="92" t="str">
        <f>IFERROR(VLOOKUP(D685,'Công T5'!$C$7:$F$89,2,0),"")</f>
        <v/>
      </c>
      <c r="M685" s="92" t="str">
        <f>IFERROR(VLOOKUP(D685,'Công T5'!$C$7:$F$89,3,0),"")</f>
        <v/>
      </c>
      <c r="N685" s="92">
        <f t="shared" si="9"/>
        <v>0.3333333333</v>
      </c>
      <c r="O685" s="92">
        <f t="shared" si="2"/>
        <v>0.7083333333</v>
      </c>
      <c r="P685" s="94">
        <f t="shared" si="3"/>
        <v>0.5</v>
      </c>
      <c r="Q685" s="94">
        <f t="shared" si="4"/>
        <v>0.5</v>
      </c>
      <c r="R685" s="95">
        <f t="shared" si="5"/>
        <v>1</v>
      </c>
      <c r="S685" s="95">
        <f t="shared" si="6"/>
        <v>0</v>
      </c>
      <c r="T685" s="95">
        <f t="shared" si="7"/>
        <v>0</v>
      </c>
    </row>
    <row r="686">
      <c r="A686" s="96">
        <v>35.0</v>
      </c>
      <c r="B686" s="103">
        <v>44701.0</v>
      </c>
      <c r="C686" s="96">
        <v>10061.0</v>
      </c>
      <c r="D686" s="98" t="s">
        <v>68</v>
      </c>
      <c r="E686" s="98" t="s">
        <v>159</v>
      </c>
      <c r="F686" s="99">
        <v>0.23541666666666666</v>
      </c>
      <c r="G686" s="99">
        <v>0.7652777777777777</v>
      </c>
      <c r="H686" s="101"/>
      <c r="I686" s="92" t="str">
        <f>IFERROR(VLOOKUP(D686,'Công T5'!$C$7:$F$89,4,0),"")</f>
        <v>HCTH</v>
      </c>
      <c r="J686" s="92">
        <f t="shared" si="8"/>
        <v>0.2354166667</v>
      </c>
      <c r="K686" s="92">
        <f t="shared" si="10"/>
        <v>0.7652777778</v>
      </c>
      <c r="L686" s="92" t="str">
        <f>IFERROR(VLOOKUP(D686,'Công T5'!$C$7:$F$89,2,0),"")</f>
        <v/>
      </c>
      <c r="M686" s="92" t="str">
        <f>IFERROR(VLOOKUP(D686,'Công T5'!$C$7:$F$89,3,0),"")</f>
        <v/>
      </c>
      <c r="N686" s="92">
        <f t="shared" si="9"/>
        <v>0.3333333333</v>
      </c>
      <c r="O686" s="92">
        <f t="shared" si="2"/>
        <v>0.7083333333</v>
      </c>
      <c r="P686" s="94">
        <f t="shared" si="3"/>
        <v>0.5</v>
      </c>
      <c r="Q686" s="94">
        <f t="shared" si="4"/>
        <v>0.5</v>
      </c>
      <c r="R686" s="95">
        <f t="shared" si="5"/>
        <v>1</v>
      </c>
      <c r="S686" s="95">
        <f t="shared" si="6"/>
        <v>0</v>
      </c>
      <c r="T686" s="95">
        <f t="shared" si="7"/>
        <v>0</v>
      </c>
    </row>
    <row r="687">
      <c r="A687" s="96">
        <v>36.0</v>
      </c>
      <c r="B687" s="103">
        <v>44702.0</v>
      </c>
      <c r="C687" s="96">
        <v>10061.0</v>
      </c>
      <c r="D687" s="98" t="s">
        <v>68</v>
      </c>
      <c r="E687" s="98" t="s">
        <v>159</v>
      </c>
      <c r="F687" s="99">
        <v>0.23680555555555555</v>
      </c>
      <c r="G687" s="99">
        <v>0.7388888888888889</v>
      </c>
      <c r="H687" s="101"/>
      <c r="I687" s="92" t="str">
        <f>IFERROR(VLOOKUP(D687,'Công T5'!$C$7:$F$89,4,0),"")</f>
        <v>HCTH</v>
      </c>
      <c r="J687" s="92">
        <f t="shared" si="8"/>
        <v>0.2368055556</v>
      </c>
      <c r="K687" s="92">
        <f t="shared" si="10"/>
        <v>0.7388888889</v>
      </c>
      <c r="L687" s="92" t="str">
        <f>IFERROR(VLOOKUP(D687,'Công T5'!$C$7:$F$89,2,0),"")</f>
        <v/>
      </c>
      <c r="M687" s="92" t="str">
        <f>IFERROR(VLOOKUP(D687,'Công T5'!$C$7:$F$89,3,0),"")</f>
        <v/>
      </c>
      <c r="N687" s="92">
        <f t="shared" si="9"/>
        <v>0.3333333333</v>
      </c>
      <c r="O687" s="92">
        <f t="shared" si="2"/>
        <v>0.7083333333</v>
      </c>
      <c r="P687" s="94">
        <f t="shared" si="3"/>
        <v>0.5</v>
      </c>
      <c r="Q687" s="94">
        <f t="shared" si="4"/>
        <v>0.5</v>
      </c>
      <c r="R687" s="95">
        <f t="shared" si="5"/>
        <v>1</v>
      </c>
      <c r="S687" s="95">
        <f t="shared" si="6"/>
        <v>0</v>
      </c>
      <c r="T687" s="95">
        <f t="shared" si="7"/>
        <v>0</v>
      </c>
    </row>
    <row r="688">
      <c r="A688" s="96">
        <v>37.0</v>
      </c>
      <c r="B688" s="103">
        <v>44704.0</v>
      </c>
      <c r="C688" s="96">
        <v>10061.0</v>
      </c>
      <c r="D688" s="98" t="s">
        <v>68</v>
      </c>
      <c r="E688" s="98" t="s">
        <v>159</v>
      </c>
      <c r="F688" s="99">
        <v>0.23680555555555555</v>
      </c>
      <c r="G688" s="99">
        <v>0.7597222222222222</v>
      </c>
      <c r="H688" s="101"/>
      <c r="I688" s="92" t="str">
        <f>IFERROR(VLOOKUP(D688,'Công T5'!$C$7:$F$89,4,0),"")</f>
        <v>HCTH</v>
      </c>
      <c r="J688" s="92">
        <f t="shared" si="8"/>
        <v>0.2368055556</v>
      </c>
      <c r="K688" s="92">
        <f t="shared" si="10"/>
        <v>0.7597222222</v>
      </c>
      <c r="L688" s="92" t="str">
        <f>IFERROR(VLOOKUP(D688,'Công T5'!$C$7:$F$89,2,0),"")</f>
        <v/>
      </c>
      <c r="M688" s="92" t="str">
        <f>IFERROR(VLOOKUP(D688,'Công T5'!$C$7:$F$89,3,0),"")</f>
        <v/>
      </c>
      <c r="N688" s="92">
        <f t="shared" si="9"/>
        <v>0.3333333333</v>
      </c>
      <c r="O688" s="92">
        <f t="shared" si="2"/>
        <v>0.7083333333</v>
      </c>
      <c r="P688" s="94">
        <f t="shared" si="3"/>
        <v>0.5</v>
      </c>
      <c r="Q688" s="94">
        <f t="shared" si="4"/>
        <v>0.5</v>
      </c>
      <c r="R688" s="95">
        <f t="shared" si="5"/>
        <v>1</v>
      </c>
      <c r="S688" s="95">
        <f t="shared" si="6"/>
        <v>0</v>
      </c>
      <c r="T688" s="95">
        <f t="shared" si="7"/>
        <v>0</v>
      </c>
    </row>
    <row r="689">
      <c r="A689" s="96">
        <v>38.0</v>
      </c>
      <c r="B689" s="103">
        <v>44705.0</v>
      </c>
      <c r="C689" s="96">
        <v>10061.0</v>
      </c>
      <c r="D689" s="98" t="s">
        <v>68</v>
      </c>
      <c r="E689" s="98" t="s">
        <v>159</v>
      </c>
      <c r="F689" s="99">
        <v>0.2361111111111111</v>
      </c>
      <c r="G689" s="99">
        <v>0.7680555555555556</v>
      </c>
      <c r="H689" s="101"/>
      <c r="I689" s="92" t="str">
        <f>IFERROR(VLOOKUP(D689,'Công T5'!$C$7:$F$89,4,0),"")</f>
        <v>HCTH</v>
      </c>
      <c r="J689" s="92">
        <f t="shared" si="8"/>
        <v>0.2361111111</v>
      </c>
      <c r="K689" s="92">
        <f t="shared" si="10"/>
        <v>0.7680555556</v>
      </c>
      <c r="L689" s="92" t="str">
        <f>IFERROR(VLOOKUP(D689,'Công T5'!$C$7:$F$89,2,0),"")</f>
        <v/>
      </c>
      <c r="M689" s="92" t="str">
        <f>IFERROR(VLOOKUP(D689,'Công T5'!$C$7:$F$89,3,0),"")</f>
        <v/>
      </c>
      <c r="N689" s="92">
        <f t="shared" si="9"/>
        <v>0.3333333333</v>
      </c>
      <c r="O689" s="92">
        <f t="shared" si="2"/>
        <v>0.7083333333</v>
      </c>
      <c r="P689" s="94">
        <f t="shared" si="3"/>
        <v>0.5</v>
      </c>
      <c r="Q689" s="94">
        <f t="shared" si="4"/>
        <v>0.5</v>
      </c>
      <c r="R689" s="95">
        <f t="shared" si="5"/>
        <v>1</v>
      </c>
      <c r="S689" s="95">
        <f t="shared" si="6"/>
        <v>0</v>
      </c>
      <c r="T689" s="95">
        <f t="shared" si="7"/>
        <v>0</v>
      </c>
    </row>
    <row r="690">
      <c r="A690" s="96">
        <v>39.0</v>
      </c>
      <c r="B690" s="103">
        <v>44706.0</v>
      </c>
      <c r="C690" s="96">
        <v>10061.0</v>
      </c>
      <c r="D690" s="98" t="s">
        <v>68</v>
      </c>
      <c r="E690" s="98" t="s">
        <v>159</v>
      </c>
      <c r="F690" s="99">
        <v>0.23819444444444443</v>
      </c>
      <c r="G690" s="99">
        <v>0.7409722222222223</v>
      </c>
      <c r="H690" s="101"/>
      <c r="I690" s="92" t="str">
        <f>IFERROR(VLOOKUP(D690,'Công T5'!$C$7:$F$89,4,0),"")</f>
        <v>HCTH</v>
      </c>
      <c r="J690" s="92">
        <f t="shared" si="8"/>
        <v>0.2381944444</v>
      </c>
      <c r="K690" s="92">
        <f t="shared" si="10"/>
        <v>0.7409722222</v>
      </c>
      <c r="L690" s="92" t="str">
        <f>IFERROR(VLOOKUP(D690,'Công T5'!$C$7:$F$89,2,0),"")</f>
        <v/>
      </c>
      <c r="M690" s="92" t="str">
        <f>IFERROR(VLOOKUP(D690,'Công T5'!$C$7:$F$89,3,0),"")</f>
        <v/>
      </c>
      <c r="N690" s="92">
        <f t="shared" si="9"/>
        <v>0.3333333333</v>
      </c>
      <c r="O690" s="92">
        <f t="shared" si="2"/>
        <v>0.7083333333</v>
      </c>
      <c r="P690" s="94">
        <f t="shared" si="3"/>
        <v>0.5</v>
      </c>
      <c r="Q690" s="94">
        <f t="shared" si="4"/>
        <v>0.5</v>
      </c>
      <c r="R690" s="95">
        <f t="shared" si="5"/>
        <v>1</v>
      </c>
      <c r="S690" s="95">
        <f t="shared" si="6"/>
        <v>0</v>
      </c>
      <c r="T690" s="95">
        <f t="shared" si="7"/>
        <v>0</v>
      </c>
    </row>
    <row r="691">
      <c r="A691" s="96">
        <v>40.0</v>
      </c>
      <c r="B691" s="103">
        <v>44677.0</v>
      </c>
      <c r="C691" s="96">
        <v>10139.0</v>
      </c>
      <c r="D691" s="98" t="s">
        <v>67</v>
      </c>
      <c r="E691" s="98" t="s">
        <v>159</v>
      </c>
      <c r="F691" s="99">
        <v>0.32569444444444445</v>
      </c>
      <c r="G691" s="99">
        <v>0.7145833333333333</v>
      </c>
      <c r="H691" s="101"/>
      <c r="I691" s="92" t="str">
        <f>IFERROR(VLOOKUP(D691,'Công T5'!$C$7:$F$89,4,0),"")</f>
        <v>HCTH</v>
      </c>
      <c r="J691" s="92">
        <f t="shared" si="8"/>
        <v>0.3256944444</v>
      </c>
      <c r="K691" s="92">
        <f t="shared" si="10"/>
        <v>0.7145833333</v>
      </c>
      <c r="L691" s="92" t="str">
        <f>IFERROR(VLOOKUP(D691,'Công T5'!$C$7:$F$89,2,0),"")</f>
        <v/>
      </c>
      <c r="M691" s="92" t="str">
        <f>IFERROR(VLOOKUP(D691,'Công T5'!$C$7:$F$89,3,0),"")</f>
        <v/>
      </c>
      <c r="N691" s="92">
        <f t="shared" si="9"/>
        <v>0.3333333333</v>
      </c>
      <c r="O691" s="92">
        <f t="shared" si="2"/>
        <v>0.7083333333</v>
      </c>
      <c r="P691" s="94">
        <f t="shared" si="3"/>
        <v>0.5</v>
      </c>
      <c r="Q691" s="94">
        <f t="shared" si="4"/>
        <v>0.5</v>
      </c>
      <c r="R691" s="95">
        <f t="shared" si="5"/>
        <v>1</v>
      </c>
      <c r="S691" s="95">
        <f t="shared" si="6"/>
        <v>0</v>
      </c>
      <c r="T691" s="95">
        <f t="shared" si="7"/>
        <v>0</v>
      </c>
    </row>
    <row r="692">
      <c r="A692" s="96">
        <v>41.0</v>
      </c>
      <c r="B692" s="103">
        <v>44678.0</v>
      </c>
      <c r="C692" s="96">
        <v>10139.0</v>
      </c>
      <c r="D692" s="98" t="s">
        <v>67</v>
      </c>
      <c r="E692" s="98" t="s">
        <v>159</v>
      </c>
      <c r="F692" s="99">
        <v>0.31666666666666665</v>
      </c>
      <c r="G692" s="99">
        <v>0.7222222222222222</v>
      </c>
      <c r="H692" s="101"/>
      <c r="I692" s="92" t="str">
        <f>IFERROR(VLOOKUP(D692,'Công T5'!$C$7:$F$89,4,0),"")</f>
        <v>HCTH</v>
      </c>
      <c r="J692" s="92">
        <f t="shared" si="8"/>
        <v>0.3166666667</v>
      </c>
      <c r="K692" s="92">
        <f t="shared" si="10"/>
        <v>0.7222222222</v>
      </c>
      <c r="L692" s="92" t="str">
        <f>IFERROR(VLOOKUP(D692,'Công T5'!$C$7:$F$89,2,0),"")</f>
        <v/>
      </c>
      <c r="M692" s="92" t="str">
        <f>IFERROR(VLOOKUP(D692,'Công T5'!$C$7:$F$89,3,0),"")</f>
        <v/>
      </c>
      <c r="N692" s="92">
        <f t="shared" si="9"/>
        <v>0.3333333333</v>
      </c>
      <c r="O692" s="92">
        <f t="shared" si="2"/>
        <v>0.7083333333</v>
      </c>
      <c r="P692" s="94">
        <f t="shared" si="3"/>
        <v>0.5</v>
      </c>
      <c r="Q692" s="94">
        <f t="shared" si="4"/>
        <v>0.5</v>
      </c>
      <c r="R692" s="95">
        <f t="shared" si="5"/>
        <v>1</v>
      </c>
      <c r="S692" s="95">
        <f t="shared" si="6"/>
        <v>0</v>
      </c>
      <c r="T692" s="95">
        <f t="shared" si="7"/>
        <v>0</v>
      </c>
    </row>
    <row r="693">
      <c r="A693" s="96">
        <v>42.0</v>
      </c>
      <c r="B693" s="103">
        <v>44679.0</v>
      </c>
      <c r="C693" s="96">
        <v>10139.0</v>
      </c>
      <c r="D693" s="98" t="s">
        <v>67</v>
      </c>
      <c r="E693" s="98" t="s">
        <v>159</v>
      </c>
      <c r="F693" s="99">
        <v>0.31527777777777777</v>
      </c>
      <c r="G693" s="99">
        <v>0.7298611111111111</v>
      </c>
      <c r="H693" s="101"/>
      <c r="I693" s="92" t="str">
        <f>IFERROR(VLOOKUP(D693,'Công T5'!$C$7:$F$89,4,0),"")</f>
        <v>HCTH</v>
      </c>
      <c r="J693" s="92">
        <f t="shared" si="8"/>
        <v>0.3152777778</v>
      </c>
      <c r="K693" s="92">
        <f t="shared" si="10"/>
        <v>0.7298611111</v>
      </c>
      <c r="L693" s="92" t="str">
        <f>IFERROR(VLOOKUP(D693,'Công T5'!$C$7:$F$89,2,0),"")</f>
        <v/>
      </c>
      <c r="M693" s="92" t="str">
        <f>IFERROR(VLOOKUP(D693,'Công T5'!$C$7:$F$89,3,0),"")</f>
        <v/>
      </c>
      <c r="N693" s="92">
        <f t="shared" si="9"/>
        <v>0.3333333333</v>
      </c>
      <c r="O693" s="92">
        <f t="shared" si="2"/>
        <v>0.7083333333</v>
      </c>
      <c r="P693" s="94">
        <f t="shared" si="3"/>
        <v>0.5</v>
      </c>
      <c r="Q693" s="94">
        <f t="shared" si="4"/>
        <v>0.5</v>
      </c>
      <c r="R693" s="95">
        <f t="shared" si="5"/>
        <v>1</v>
      </c>
      <c r="S693" s="95">
        <f t="shared" si="6"/>
        <v>0</v>
      </c>
      <c r="T693" s="95">
        <f t="shared" si="7"/>
        <v>0</v>
      </c>
    </row>
    <row r="694">
      <c r="A694" s="96">
        <v>43.0</v>
      </c>
      <c r="B694" s="103">
        <v>44680.0</v>
      </c>
      <c r="C694" s="96">
        <v>10139.0</v>
      </c>
      <c r="D694" s="98" t="s">
        <v>67</v>
      </c>
      <c r="E694" s="98" t="s">
        <v>159</v>
      </c>
      <c r="F694" s="99">
        <v>0.33055555555555555</v>
      </c>
      <c r="G694" s="99">
        <v>0.7166666666666667</v>
      </c>
      <c r="H694" s="101"/>
      <c r="I694" s="92" t="str">
        <f>IFERROR(VLOOKUP(D694,'Công T5'!$C$7:$F$89,4,0),"")</f>
        <v>HCTH</v>
      </c>
      <c r="J694" s="92">
        <f t="shared" si="8"/>
        <v>0.3305555556</v>
      </c>
      <c r="K694" s="92">
        <f t="shared" si="10"/>
        <v>0.7166666667</v>
      </c>
      <c r="L694" s="92" t="str">
        <f>IFERROR(VLOOKUP(D694,'Công T5'!$C$7:$F$89,2,0),"")</f>
        <v/>
      </c>
      <c r="M694" s="92" t="str">
        <f>IFERROR(VLOOKUP(D694,'Công T5'!$C$7:$F$89,3,0),"")</f>
        <v/>
      </c>
      <c r="N694" s="92">
        <f t="shared" si="9"/>
        <v>0.3333333333</v>
      </c>
      <c r="O694" s="92">
        <f t="shared" si="2"/>
        <v>0.7083333333</v>
      </c>
      <c r="P694" s="94">
        <f t="shared" si="3"/>
        <v>0.5</v>
      </c>
      <c r="Q694" s="94">
        <f t="shared" si="4"/>
        <v>0.5</v>
      </c>
      <c r="R694" s="95">
        <f t="shared" si="5"/>
        <v>1</v>
      </c>
      <c r="S694" s="95">
        <f t="shared" si="6"/>
        <v>0</v>
      </c>
      <c r="T694" s="95">
        <f t="shared" si="7"/>
        <v>0</v>
      </c>
    </row>
    <row r="695">
      <c r="A695" s="96">
        <v>44.0</v>
      </c>
      <c r="B695" s="103">
        <v>44685.0</v>
      </c>
      <c r="C695" s="96">
        <v>10139.0</v>
      </c>
      <c r="D695" s="98" t="s">
        <v>67</v>
      </c>
      <c r="E695" s="98" t="s">
        <v>159</v>
      </c>
      <c r="F695" s="99">
        <v>0.3145833333333333</v>
      </c>
      <c r="G695" s="99">
        <v>0.7368055555555556</v>
      </c>
      <c r="H695" s="101"/>
      <c r="I695" s="92" t="str">
        <f>IFERROR(VLOOKUP(D695,'Công T5'!$C$7:$F$89,4,0),"")</f>
        <v>HCTH</v>
      </c>
      <c r="J695" s="92">
        <f t="shared" si="8"/>
        <v>0.3145833333</v>
      </c>
      <c r="K695" s="92">
        <f t="shared" si="10"/>
        <v>0.7368055556</v>
      </c>
      <c r="L695" s="92" t="str">
        <f>IFERROR(VLOOKUP(D695,'Công T5'!$C$7:$F$89,2,0),"")</f>
        <v/>
      </c>
      <c r="M695" s="92" t="str">
        <f>IFERROR(VLOOKUP(D695,'Công T5'!$C$7:$F$89,3,0),"")</f>
        <v/>
      </c>
      <c r="N695" s="92">
        <f t="shared" si="9"/>
        <v>0.3333333333</v>
      </c>
      <c r="O695" s="92">
        <f t="shared" si="2"/>
        <v>0.7083333333</v>
      </c>
      <c r="P695" s="94">
        <f t="shared" si="3"/>
        <v>0.5</v>
      </c>
      <c r="Q695" s="94">
        <f t="shared" si="4"/>
        <v>0.5</v>
      </c>
      <c r="R695" s="95">
        <f t="shared" si="5"/>
        <v>1</v>
      </c>
      <c r="S695" s="95">
        <f t="shared" si="6"/>
        <v>0</v>
      </c>
      <c r="T695" s="95">
        <f t="shared" si="7"/>
        <v>0</v>
      </c>
    </row>
    <row r="696">
      <c r="A696" s="96">
        <v>45.0</v>
      </c>
      <c r="B696" s="103">
        <v>44686.0</v>
      </c>
      <c r="C696" s="96">
        <v>10139.0</v>
      </c>
      <c r="D696" s="98" t="s">
        <v>67</v>
      </c>
      <c r="E696" s="98" t="s">
        <v>159</v>
      </c>
      <c r="F696" s="99">
        <v>0.31180555555555556</v>
      </c>
      <c r="G696" s="99">
        <v>0.7368055555555556</v>
      </c>
      <c r="H696" s="101"/>
      <c r="I696" s="92" t="str">
        <f>IFERROR(VLOOKUP(D696,'Công T5'!$C$7:$F$89,4,0),"")</f>
        <v>HCTH</v>
      </c>
      <c r="J696" s="92">
        <f t="shared" si="8"/>
        <v>0.3118055556</v>
      </c>
      <c r="K696" s="92">
        <f t="shared" si="10"/>
        <v>0.7368055556</v>
      </c>
      <c r="L696" s="92" t="str">
        <f>IFERROR(VLOOKUP(D696,'Công T5'!$C$7:$F$89,2,0),"")</f>
        <v/>
      </c>
      <c r="M696" s="92" t="str">
        <f>IFERROR(VLOOKUP(D696,'Công T5'!$C$7:$F$89,3,0),"")</f>
        <v/>
      </c>
      <c r="N696" s="92">
        <f t="shared" si="9"/>
        <v>0.3333333333</v>
      </c>
      <c r="O696" s="92">
        <f t="shared" si="2"/>
        <v>0.7083333333</v>
      </c>
      <c r="P696" s="94">
        <f t="shared" si="3"/>
        <v>0.5</v>
      </c>
      <c r="Q696" s="94">
        <f t="shared" si="4"/>
        <v>0.5</v>
      </c>
      <c r="R696" s="95">
        <f t="shared" si="5"/>
        <v>1</v>
      </c>
      <c r="S696" s="95">
        <f t="shared" si="6"/>
        <v>0</v>
      </c>
      <c r="T696" s="95">
        <f t="shared" si="7"/>
        <v>0</v>
      </c>
    </row>
    <row r="697">
      <c r="A697" s="96">
        <v>46.0</v>
      </c>
      <c r="B697" s="103">
        <v>44687.0</v>
      </c>
      <c r="C697" s="96">
        <v>10139.0</v>
      </c>
      <c r="D697" s="98" t="s">
        <v>67</v>
      </c>
      <c r="E697" s="98" t="s">
        <v>159</v>
      </c>
      <c r="F697" s="99">
        <v>0.3298611111111111</v>
      </c>
      <c r="G697" s="99">
        <v>0.7236111111111111</v>
      </c>
      <c r="H697" s="101"/>
      <c r="I697" s="92" t="str">
        <f>IFERROR(VLOOKUP(D697,'Công T5'!$C$7:$F$89,4,0),"")</f>
        <v>HCTH</v>
      </c>
      <c r="J697" s="92">
        <f t="shared" si="8"/>
        <v>0.3298611111</v>
      </c>
      <c r="K697" s="92">
        <f t="shared" si="10"/>
        <v>0.7236111111</v>
      </c>
      <c r="L697" s="92" t="str">
        <f>IFERROR(VLOOKUP(D697,'Công T5'!$C$7:$F$89,2,0),"")</f>
        <v/>
      </c>
      <c r="M697" s="92" t="str">
        <f>IFERROR(VLOOKUP(D697,'Công T5'!$C$7:$F$89,3,0),"")</f>
        <v/>
      </c>
      <c r="N697" s="92">
        <f t="shared" si="9"/>
        <v>0.3333333333</v>
      </c>
      <c r="O697" s="92">
        <f t="shared" si="2"/>
        <v>0.7083333333</v>
      </c>
      <c r="P697" s="94">
        <f t="shared" si="3"/>
        <v>0.5</v>
      </c>
      <c r="Q697" s="94">
        <f t="shared" si="4"/>
        <v>0.5</v>
      </c>
      <c r="R697" s="95">
        <f t="shared" si="5"/>
        <v>1</v>
      </c>
      <c r="S697" s="95">
        <f t="shared" si="6"/>
        <v>0</v>
      </c>
      <c r="T697" s="95">
        <f t="shared" si="7"/>
        <v>0</v>
      </c>
    </row>
    <row r="698">
      <c r="A698" s="96">
        <v>47.0</v>
      </c>
      <c r="B698" s="103">
        <v>44688.0</v>
      </c>
      <c r="C698" s="96">
        <v>10139.0</v>
      </c>
      <c r="D698" s="98" t="s">
        <v>67</v>
      </c>
      <c r="E698" s="98" t="s">
        <v>159</v>
      </c>
      <c r="F698" s="99">
        <v>0.24513888888888888</v>
      </c>
      <c r="G698" s="99">
        <v>0.7354166666666667</v>
      </c>
      <c r="H698" s="101"/>
      <c r="I698" s="92" t="str">
        <f>IFERROR(VLOOKUP(D698,'Công T5'!$C$7:$F$89,4,0),"")</f>
        <v>HCTH</v>
      </c>
      <c r="J698" s="92">
        <f t="shared" si="8"/>
        <v>0.2451388889</v>
      </c>
      <c r="K698" s="92">
        <f t="shared" si="10"/>
        <v>0.7354166667</v>
      </c>
      <c r="L698" s="92" t="str">
        <f>IFERROR(VLOOKUP(D698,'Công T5'!$C$7:$F$89,2,0),"")</f>
        <v/>
      </c>
      <c r="M698" s="92" t="str">
        <f>IFERROR(VLOOKUP(D698,'Công T5'!$C$7:$F$89,3,0),"")</f>
        <v/>
      </c>
      <c r="N698" s="92">
        <f t="shared" si="9"/>
        <v>0.3333333333</v>
      </c>
      <c r="O698" s="92">
        <f t="shared" si="2"/>
        <v>0.7083333333</v>
      </c>
      <c r="P698" s="94">
        <f t="shared" si="3"/>
        <v>0.5</v>
      </c>
      <c r="Q698" s="94">
        <f t="shared" si="4"/>
        <v>0.5</v>
      </c>
      <c r="R698" s="95">
        <f t="shared" si="5"/>
        <v>1</v>
      </c>
      <c r="S698" s="95">
        <f t="shared" si="6"/>
        <v>0</v>
      </c>
      <c r="T698" s="95">
        <f t="shared" si="7"/>
        <v>0</v>
      </c>
    </row>
    <row r="699">
      <c r="A699" s="96">
        <v>48.0</v>
      </c>
      <c r="B699" s="103">
        <v>44690.0</v>
      </c>
      <c r="C699" s="96">
        <v>10139.0</v>
      </c>
      <c r="D699" s="98" t="s">
        <v>67</v>
      </c>
      <c r="E699" s="98" t="s">
        <v>159</v>
      </c>
      <c r="F699" s="99">
        <v>0.3215277777777778</v>
      </c>
      <c r="G699" s="99">
        <v>0.7270833333333333</v>
      </c>
      <c r="H699" s="101"/>
      <c r="I699" s="92" t="str">
        <f>IFERROR(VLOOKUP(D699,'Công T5'!$C$7:$F$89,4,0),"")</f>
        <v>HCTH</v>
      </c>
      <c r="J699" s="92">
        <f t="shared" si="8"/>
        <v>0.3215277778</v>
      </c>
      <c r="K699" s="92">
        <f t="shared" si="10"/>
        <v>0.7270833333</v>
      </c>
      <c r="L699" s="92" t="str">
        <f>IFERROR(VLOOKUP(D699,'Công T5'!$C$7:$F$89,2,0),"")</f>
        <v/>
      </c>
      <c r="M699" s="92" t="str">
        <f>IFERROR(VLOOKUP(D699,'Công T5'!$C$7:$F$89,3,0),"")</f>
        <v/>
      </c>
      <c r="N699" s="92">
        <f t="shared" si="9"/>
        <v>0.3333333333</v>
      </c>
      <c r="O699" s="92">
        <f t="shared" si="2"/>
        <v>0.7083333333</v>
      </c>
      <c r="P699" s="94">
        <f t="shared" si="3"/>
        <v>0.5</v>
      </c>
      <c r="Q699" s="94">
        <f t="shared" si="4"/>
        <v>0.5</v>
      </c>
      <c r="R699" s="95">
        <f t="shared" si="5"/>
        <v>1</v>
      </c>
      <c r="S699" s="95">
        <f t="shared" si="6"/>
        <v>0</v>
      </c>
      <c r="T699" s="95">
        <f t="shared" si="7"/>
        <v>0</v>
      </c>
    </row>
    <row r="700">
      <c r="A700" s="96">
        <v>49.0</v>
      </c>
      <c r="B700" s="103">
        <v>44691.0</v>
      </c>
      <c r="C700" s="96">
        <v>10139.0</v>
      </c>
      <c r="D700" s="98" t="s">
        <v>67</v>
      </c>
      <c r="E700" s="98" t="s">
        <v>159</v>
      </c>
      <c r="F700" s="99">
        <v>0.32222222222222224</v>
      </c>
      <c r="G700" s="99">
        <v>0.725</v>
      </c>
      <c r="H700" s="101"/>
      <c r="I700" s="92" t="str">
        <f>IFERROR(VLOOKUP(D700,'Công T5'!$C$7:$F$89,4,0),"")</f>
        <v>HCTH</v>
      </c>
      <c r="J700" s="92">
        <f t="shared" si="8"/>
        <v>0.3222222222</v>
      </c>
      <c r="K700" s="92">
        <f t="shared" si="10"/>
        <v>0.725</v>
      </c>
      <c r="L700" s="92" t="str">
        <f>IFERROR(VLOOKUP(D700,'Công T5'!$C$7:$F$89,2,0),"")</f>
        <v/>
      </c>
      <c r="M700" s="92" t="str">
        <f>IFERROR(VLOOKUP(D700,'Công T5'!$C$7:$F$89,3,0),"")</f>
        <v/>
      </c>
      <c r="N700" s="92">
        <f t="shared" si="9"/>
        <v>0.3333333333</v>
      </c>
      <c r="O700" s="92">
        <f t="shared" si="2"/>
        <v>0.7083333333</v>
      </c>
      <c r="P700" s="94">
        <f t="shared" si="3"/>
        <v>0.5</v>
      </c>
      <c r="Q700" s="94">
        <f t="shared" si="4"/>
        <v>0.5</v>
      </c>
      <c r="R700" s="95">
        <f t="shared" si="5"/>
        <v>1</v>
      </c>
      <c r="S700" s="95">
        <f t="shared" si="6"/>
        <v>0</v>
      </c>
      <c r="T700" s="95">
        <f t="shared" si="7"/>
        <v>0</v>
      </c>
    </row>
    <row r="701">
      <c r="A701" s="96">
        <v>50.0</v>
      </c>
      <c r="B701" s="103">
        <v>44692.0</v>
      </c>
      <c r="C701" s="96">
        <v>10139.0</v>
      </c>
      <c r="D701" s="98" t="s">
        <v>67</v>
      </c>
      <c r="E701" s="98" t="s">
        <v>159</v>
      </c>
      <c r="F701" s="99">
        <v>0.3138888888888889</v>
      </c>
      <c r="G701" s="99">
        <v>0.7111111111111111</v>
      </c>
      <c r="H701" s="101"/>
      <c r="I701" s="92" t="str">
        <f>IFERROR(VLOOKUP(D701,'Công T5'!$C$7:$F$89,4,0),"")</f>
        <v>HCTH</v>
      </c>
      <c r="J701" s="92">
        <f t="shared" si="8"/>
        <v>0.3138888889</v>
      </c>
      <c r="K701" s="92">
        <f t="shared" si="10"/>
        <v>0.7111111111</v>
      </c>
      <c r="L701" s="92" t="str">
        <f>IFERROR(VLOOKUP(D701,'Công T5'!$C$7:$F$89,2,0),"")</f>
        <v/>
      </c>
      <c r="M701" s="92" t="str">
        <f>IFERROR(VLOOKUP(D701,'Công T5'!$C$7:$F$89,3,0),"")</f>
        <v/>
      </c>
      <c r="N701" s="92">
        <f t="shared" si="9"/>
        <v>0.3333333333</v>
      </c>
      <c r="O701" s="92">
        <f t="shared" si="2"/>
        <v>0.7083333333</v>
      </c>
      <c r="P701" s="94">
        <f t="shared" si="3"/>
        <v>0.5</v>
      </c>
      <c r="Q701" s="94">
        <f t="shared" si="4"/>
        <v>0.5</v>
      </c>
      <c r="R701" s="95">
        <f t="shared" si="5"/>
        <v>1</v>
      </c>
      <c r="S701" s="95">
        <f t="shared" si="6"/>
        <v>0</v>
      </c>
      <c r="T701" s="95">
        <f t="shared" si="7"/>
        <v>0</v>
      </c>
    </row>
    <row r="702">
      <c r="A702" s="96">
        <v>51.0</v>
      </c>
      <c r="B702" s="103">
        <v>44693.0</v>
      </c>
      <c r="C702" s="96">
        <v>10139.0</v>
      </c>
      <c r="D702" s="98" t="s">
        <v>67</v>
      </c>
      <c r="E702" s="98" t="s">
        <v>159</v>
      </c>
      <c r="F702" s="99">
        <v>0.23680555555555555</v>
      </c>
      <c r="G702" s="99">
        <v>0.8201388888888889</v>
      </c>
      <c r="H702" s="101"/>
      <c r="I702" s="92" t="str">
        <f>IFERROR(VLOOKUP(D702,'Công T5'!$C$7:$F$89,4,0),"")</f>
        <v>HCTH</v>
      </c>
      <c r="J702" s="92">
        <f t="shared" si="8"/>
        <v>0.2368055556</v>
      </c>
      <c r="K702" s="92">
        <f t="shared" si="10"/>
        <v>0.8201388889</v>
      </c>
      <c r="L702" s="92" t="str">
        <f>IFERROR(VLOOKUP(D702,'Công T5'!$C$7:$F$89,2,0),"")</f>
        <v/>
      </c>
      <c r="M702" s="92" t="str">
        <f>IFERROR(VLOOKUP(D702,'Công T5'!$C$7:$F$89,3,0),"")</f>
        <v/>
      </c>
      <c r="N702" s="92">
        <f t="shared" si="9"/>
        <v>0.3333333333</v>
      </c>
      <c r="O702" s="92">
        <f t="shared" si="2"/>
        <v>0.7083333333</v>
      </c>
      <c r="P702" s="94">
        <f t="shared" si="3"/>
        <v>0.5</v>
      </c>
      <c r="Q702" s="94">
        <f t="shared" si="4"/>
        <v>0.5</v>
      </c>
      <c r="R702" s="95">
        <f t="shared" si="5"/>
        <v>1</v>
      </c>
      <c r="S702" s="95">
        <f t="shared" si="6"/>
        <v>0</v>
      </c>
      <c r="T702" s="95">
        <f t="shared" si="7"/>
        <v>0</v>
      </c>
    </row>
    <row r="703">
      <c r="A703" s="96">
        <v>52.0</v>
      </c>
      <c r="B703" s="103">
        <v>44694.0</v>
      </c>
      <c r="C703" s="96">
        <v>10139.0</v>
      </c>
      <c r="D703" s="98" t="s">
        <v>67</v>
      </c>
      <c r="E703" s="98" t="s">
        <v>159</v>
      </c>
      <c r="F703" s="99">
        <v>0.32222222222222224</v>
      </c>
      <c r="G703" s="99">
        <v>0.7270833333333333</v>
      </c>
      <c r="H703" s="101"/>
      <c r="I703" s="92" t="str">
        <f>IFERROR(VLOOKUP(D703,'Công T5'!$C$7:$F$89,4,0),"")</f>
        <v>HCTH</v>
      </c>
      <c r="J703" s="92">
        <f t="shared" si="8"/>
        <v>0.3222222222</v>
      </c>
      <c r="K703" s="92">
        <f t="shared" si="10"/>
        <v>0.7270833333</v>
      </c>
      <c r="L703" s="92" t="str">
        <f>IFERROR(VLOOKUP(D703,'Công T5'!$C$7:$F$89,2,0),"")</f>
        <v/>
      </c>
      <c r="M703" s="92" t="str">
        <f>IFERROR(VLOOKUP(D703,'Công T5'!$C$7:$F$89,3,0),"")</f>
        <v/>
      </c>
      <c r="N703" s="92">
        <f t="shared" si="9"/>
        <v>0.3333333333</v>
      </c>
      <c r="O703" s="92">
        <f t="shared" si="2"/>
        <v>0.7083333333</v>
      </c>
      <c r="P703" s="94">
        <f t="shared" si="3"/>
        <v>0.5</v>
      </c>
      <c r="Q703" s="94">
        <f t="shared" si="4"/>
        <v>0.5</v>
      </c>
      <c r="R703" s="95">
        <f t="shared" si="5"/>
        <v>1</v>
      </c>
      <c r="S703" s="95">
        <f t="shared" si="6"/>
        <v>0</v>
      </c>
      <c r="T703" s="95">
        <f t="shared" si="7"/>
        <v>0</v>
      </c>
    </row>
    <row r="704">
      <c r="A704" s="96">
        <v>53.0</v>
      </c>
      <c r="B704" s="103">
        <v>44697.0</v>
      </c>
      <c r="C704" s="96">
        <v>10139.0</v>
      </c>
      <c r="D704" s="98" t="s">
        <v>67</v>
      </c>
      <c r="E704" s="98" t="s">
        <v>159</v>
      </c>
      <c r="F704" s="99">
        <v>0.3236111111111111</v>
      </c>
      <c r="G704" s="99">
        <v>0.7111111111111111</v>
      </c>
      <c r="H704" s="101"/>
      <c r="I704" s="92" t="str">
        <f>IFERROR(VLOOKUP(D704,'Công T5'!$C$7:$F$89,4,0),"")</f>
        <v>HCTH</v>
      </c>
      <c r="J704" s="92">
        <f t="shared" si="8"/>
        <v>0.3236111111</v>
      </c>
      <c r="K704" s="92">
        <f t="shared" si="10"/>
        <v>0.7111111111</v>
      </c>
      <c r="L704" s="92" t="str">
        <f>IFERROR(VLOOKUP(D704,'Công T5'!$C$7:$F$89,2,0),"")</f>
        <v/>
      </c>
      <c r="M704" s="92" t="str">
        <f>IFERROR(VLOOKUP(D704,'Công T5'!$C$7:$F$89,3,0),"")</f>
        <v/>
      </c>
      <c r="N704" s="92">
        <f t="shared" si="9"/>
        <v>0.3333333333</v>
      </c>
      <c r="O704" s="92">
        <f t="shared" si="2"/>
        <v>0.7083333333</v>
      </c>
      <c r="P704" s="94">
        <f t="shared" si="3"/>
        <v>0.5</v>
      </c>
      <c r="Q704" s="94">
        <f t="shared" si="4"/>
        <v>0.5</v>
      </c>
      <c r="R704" s="95">
        <f t="shared" si="5"/>
        <v>1</v>
      </c>
      <c r="S704" s="95">
        <f t="shared" si="6"/>
        <v>0</v>
      </c>
      <c r="T704" s="95">
        <f t="shared" si="7"/>
        <v>0</v>
      </c>
    </row>
    <row r="705">
      <c r="A705" s="96">
        <v>54.0</v>
      </c>
      <c r="B705" s="103">
        <v>44699.0</v>
      </c>
      <c r="C705" s="96">
        <v>10139.0</v>
      </c>
      <c r="D705" s="98" t="s">
        <v>67</v>
      </c>
      <c r="E705" s="98" t="s">
        <v>159</v>
      </c>
      <c r="F705" s="99">
        <v>0.325</v>
      </c>
      <c r="G705" s="99">
        <v>0.7354166666666667</v>
      </c>
      <c r="H705" s="101"/>
      <c r="I705" s="92" t="str">
        <f>IFERROR(VLOOKUP(D705,'Công T5'!$C$7:$F$89,4,0),"")</f>
        <v>HCTH</v>
      </c>
      <c r="J705" s="92">
        <f t="shared" si="8"/>
        <v>0.325</v>
      </c>
      <c r="K705" s="92">
        <f t="shared" si="10"/>
        <v>0.7354166667</v>
      </c>
      <c r="L705" s="92" t="str">
        <f>IFERROR(VLOOKUP(D705,'Công T5'!$C$7:$F$89,2,0),"")</f>
        <v/>
      </c>
      <c r="M705" s="92" t="str">
        <f>IFERROR(VLOOKUP(D705,'Công T5'!$C$7:$F$89,3,0),"")</f>
        <v/>
      </c>
      <c r="N705" s="92">
        <f t="shared" si="9"/>
        <v>0.3333333333</v>
      </c>
      <c r="O705" s="92">
        <f t="shared" si="2"/>
        <v>0.7083333333</v>
      </c>
      <c r="P705" s="94">
        <f t="shared" si="3"/>
        <v>0.5</v>
      </c>
      <c r="Q705" s="94">
        <f t="shared" si="4"/>
        <v>0.5</v>
      </c>
      <c r="R705" s="95">
        <f t="shared" si="5"/>
        <v>1</v>
      </c>
      <c r="S705" s="95">
        <f t="shared" si="6"/>
        <v>0</v>
      </c>
      <c r="T705" s="95">
        <f t="shared" si="7"/>
        <v>0</v>
      </c>
    </row>
    <row r="706">
      <c r="A706" s="96">
        <v>55.0</v>
      </c>
      <c r="B706" s="103">
        <v>44700.0</v>
      </c>
      <c r="C706" s="96">
        <v>10139.0</v>
      </c>
      <c r="D706" s="98" t="s">
        <v>67</v>
      </c>
      <c r="E706" s="98" t="s">
        <v>159</v>
      </c>
      <c r="F706" s="99">
        <v>0.3125</v>
      </c>
      <c r="G706" s="99">
        <v>0.7152777777777778</v>
      </c>
      <c r="H706" s="101"/>
      <c r="I706" s="92" t="str">
        <f>IFERROR(VLOOKUP(D706,'Công T5'!$C$7:$F$89,4,0),"")</f>
        <v>HCTH</v>
      </c>
      <c r="J706" s="92">
        <f t="shared" si="8"/>
        <v>0.3125</v>
      </c>
      <c r="K706" s="92">
        <f t="shared" si="10"/>
        <v>0.7152777778</v>
      </c>
      <c r="L706" s="92" t="str">
        <f>IFERROR(VLOOKUP(D706,'Công T5'!$C$7:$F$89,2,0),"")</f>
        <v/>
      </c>
      <c r="M706" s="92" t="str">
        <f>IFERROR(VLOOKUP(D706,'Công T5'!$C$7:$F$89,3,0),"")</f>
        <v/>
      </c>
      <c r="N706" s="92">
        <f t="shared" si="9"/>
        <v>0.3333333333</v>
      </c>
      <c r="O706" s="92">
        <f t="shared" si="2"/>
        <v>0.7083333333</v>
      </c>
      <c r="P706" s="94">
        <f t="shared" si="3"/>
        <v>0.5</v>
      </c>
      <c r="Q706" s="94">
        <f t="shared" si="4"/>
        <v>0.5</v>
      </c>
      <c r="R706" s="95">
        <f t="shared" si="5"/>
        <v>1</v>
      </c>
      <c r="S706" s="95">
        <f t="shared" si="6"/>
        <v>0</v>
      </c>
      <c r="T706" s="95">
        <f t="shared" si="7"/>
        <v>0</v>
      </c>
    </row>
    <row r="707">
      <c r="A707" s="96">
        <v>56.0</v>
      </c>
      <c r="B707" s="103">
        <v>44701.0</v>
      </c>
      <c r="C707" s="96">
        <v>10139.0</v>
      </c>
      <c r="D707" s="98" t="s">
        <v>67</v>
      </c>
      <c r="E707" s="98" t="s">
        <v>159</v>
      </c>
      <c r="F707" s="99">
        <v>0.31527777777777777</v>
      </c>
      <c r="G707" s="99">
        <v>0.7416666666666667</v>
      </c>
      <c r="H707" s="101"/>
      <c r="I707" s="92" t="str">
        <f>IFERROR(VLOOKUP(D707,'Công T5'!$C$7:$F$89,4,0),"")</f>
        <v>HCTH</v>
      </c>
      <c r="J707" s="92">
        <f t="shared" si="8"/>
        <v>0.3152777778</v>
      </c>
      <c r="K707" s="92">
        <f t="shared" si="10"/>
        <v>0.7416666667</v>
      </c>
      <c r="L707" s="92" t="str">
        <f>IFERROR(VLOOKUP(D707,'Công T5'!$C$7:$F$89,2,0),"")</f>
        <v/>
      </c>
      <c r="M707" s="92" t="str">
        <f>IFERROR(VLOOKUP(D707,'Công T5'!$C$7:$F$89,3,0),"")</f>
        <v/>
      </c>
      <c r="N707" s="92">
        <f t="shared" si="9"/>
        <v>0.3333333333</v>
      </c>
      <c r="O707" s="92">
        <f t="shared" si="2"/>
        <v>0.7083333333</v>
      </c>
      <c r="P707" s="94">
        <f t="shared" si="3"/>
        <v>0.5</v>
      </c>
      <c r="Q707" s="94">
        <f t="shared" si="4"/>
        <v>0.5</v>
      </c>
      <c r="R707" s="95">
        <f t="shared" si="5"/>
        <v>1</v>
      </c>
      <c r="S707" s="95">
        <f t="shared" si="6"/>
        <v>0</v>
      </c>
      <c r="T707" s="95">
        <f t="shared" si="7"/>
        <v>0</v>
      </c>
    </row>
    <row r="708">
      <c r="A708" s="96">
        <v>57.0</v>
      </c>
      <c r="B708" s="103">
        <v>44702.0</v>
      </c>
      <c r="C708" s="96">
        <v>10139.0</v>
      </c>
      <c r="D708" s="98" t="s">
        <v>67</v>
      </c>
      <c r="E708" s="98" t="s">
        <v>159</v>
      </c>
      <c r="F708" s="99">
        <v>0.32569444444444445</v>
      </c>
      <c r="G708" s="99">
        <v>0.7173611111111111</v>
      </c>
      <c r="H708" s="101"/>
      <c r="I708" s="92" t="str">
        <f>IFERROR(VLOOKUP(D708,'Công T5'!$C$7:$F$89,4,0),"")</f>
        <v>HCTH</v>
      </c>
      <c r="J708" s="92">
        <f t="shared" si="8"/>
        <v>0.3256944444</v>
      </c>
      <c r="K708" s="92">
        <f t="shared" si="10"/>
        <v>0.7173611111</v>
      </c>
      <c r="L708" s="92" t="str">
        <f>IFERROR(VLOOKUP(D708,'Công T5'!$C$7:$F$89,2,0),"")</f>
        <v/>
      </c>
      <c r="M708" s="92" t="str">
        <f>IFERROR(VLOOKUP(D708,'Công T5'!$C$7:$F$89,3,0),"")</f>
        <v/>
      </c>
      <c r="N708" s="92">
        <f t="shared" si="9"/>
        <v>0.3333333333</v>
      </c>
      <c r="O708" s="92">
        <f t="shared" si="2"/>
        <v>0.7083333333</v>
      </c>
      <c r="P708" s="94">
        <f t="shared" si="3"/>
        <v>0.5</v>
      </c>
      <c r="Q708" s="94">
        <f t="shared" si="4"/>
        <v>0.5</v>
      </c>
      <c r="R708" s="95">
        <f t="shared" si="5"/>
        <v>1</v>
      </c>
      <c r="S708" s="95">
        <f t="shared" si="6"/>
        <v>0</v>
      </c>
      <c r="T708" s="95">
        <f t="shared" si="7"/>
        <v>0</v>
      </c>
    </row>
    <row r="709">
      <c r="A709" s="96">
        <v>58.0</v>
      </c>
      <c r="B709" s="103">
        <v>44704.0</v>
      </c>
      <c r="C709" s="96">
        <v>10139.0</v>
      </c>
      <c r="D709" s="98" t="s">
        <v>67</v>
      </c>
      <c r="E709" s="98" t="s">
        <v>159</v>
      </c>
      <c r="F709" s="99">
        <v>0.32569444444444445</v>
      </c>
      <c r="G709" s="99">
        <v>0.7111111111111111</v>
      </c>
      <c r="H709" s="101"/>
      <c r="I709" s="92" t="str">
        <f>IFERROR(VLOOKUP(D709,'Công T5'!$C$7:$F$89,4,0),"")</f>
        <v>HCTH</v>
      </c>
      <c r="J709" s="92">
        <f t="shared" si="8"/>
        <v>0.3256944444</v>
      </c>
      <c r="K709" s="92">
        <f t="shared" si="10"/>
        <v>0.7111111111</v>
      </c>
      <c r="L709" s="92" t="str">
        <f>IFERROR(VLOOKUP(D709,'Công T5'!$C$7:$F$89,2,0),"")</f>
        <v/>
      </c>
      <c r="M709" s="92" t="str">
        <f>IFERROR(VLOOKUP(D709,'Công T5'!$C$7:$F$89,3,0),"")</f>
        <v/>
      </c>
      <c r="N709" s="92">
        <f t="shared" si="9"/>
        <v>0.3333333333</v>
      </c>
      <c r="O709" s="92">
        <f t="shared" si="2"/>
        <v>0.7083333333</v>
      </c>
      <c r="P709" s="94">
        <f t="shared" si="3"/>
        <v>0.5</v>
      </c>
      <c r="Q709" s="94">
        <f t="shared" si="4"/>
        <v>0.5</v>
      </c>
      <c r="R709" s="95">
        <f t="shared" si="5"/>
        <v>1</v>
      </c>
      <c r="S709" s="95">
        <f t="shared" si="6"/>
        <v>0</v>
      </c>
      <c r="T709" s="95">
        <f t="shared" si="7"/>
        <v>0</v>
      </c>
    </row>
    <row r="710">
      <c r="A710" s="96">
        <v>59.0</v>
      </c>
      <c r="B710" s="103">
        <v>44705.0</v>
      </c>
      <c r="C710" s="96">
        <v>10139.0</v>
      </c>
      <c r="D710" s="98" t="s">
        <v>67</v>
      </c>
      <c r="E710" s="98" t="s">
        <v>159</v>
      </c>
      <c r="F710" s="99">
        <v>0.3236111111111111</v>
      </c>
      <c r="G710" s="99">
        <v>0.7118055555555556</v>
      </c>
      <c r="H710" s="101"/>
      <c r="I710" s="92" t="str">
        <f>IFERROR(VLOOKUP(D710,'Công T5'!$C$7:$F$89,4,0),"")</f>
        <v>HCTH</v>
      </c>
      <c r="J710" s="92">
        <f t="shared" si="8"/>
        <v>0.3236111111</v>
      </c>
      <c r="K710" s="92">
        <f t="shared" si="10"/>
        <v>0.7118055556</v>
      </c>
      <c r="L710" s="92" t="str">
        <f>IFERROR(VLOOKUP(D710,'Công T5'!$C$7:$F$89,2,0),"")</f>
        <v/>
      </c>
      <c r="M710" s="92" t="str">
        <f>IFERROR(VLOOKUP(D710,'Công T5'!$C$7:$F$89,3,0),"")</f>
        <v/>
      </c>
      <c r="N710" s="92">
        <f t="shared" si="9"/>
        <v>0.3333333333</v>
      </c>
      <c r="O710" s="92">
        <f t="shared" si="2"/>
        <v>0.7083333333</v>
      </c>
      <c r="P710" s="94">
        <f t="shared" si="3"/>
        <v>0.5</v>
      </c>
      <c r="Q710" s="94">
        <f t="shared" si="4"/>
        <v>0.5</v>
      </c>
      <c r="R710" s="95">
        <f t="shared" si="5"/>
        <v>1</v>
      </c>
      <c r="S710" s="95">
        <f t="shared" si="6"/>
        <v>0</v>
      </c>
      <c r="T710" s="95">
        <f t="shared" si="7"/>
        <v>0</v>
      </c>
    </row>
    <row r="711">
      <c r="A711" s="96">
        <v>60.0</v>
      </c>
      <c r="B711" s="103">
        <v>44706.0</v>
      </c>
      <c r="C711" s="96">
        <v>10139.0</v>
      </c>
      <c r="D711" s="98" t="s">
        <v>67</v>
      </c>
      <c r="E711" s="98" t="s">
        <v>159</v>
      </c>
      <c r="F711" s="99">
        <v>0.33958333333333335</v>
      </c>
      <c r="G711" s="99">
        <v>0.7368055555555556</v>
      </c>
      <c r="H711" s="101"/>
      <c r="I711" s="92" t="str">
        <f>IFERROR(VLOOKUP(D711,'Công T5'!$C$7:$F$89,4,0),"")</f>
        <v>HCTH</v>
      </c>
      <c r="J711" s="92">
        <f t="shared" si="8"/>
        <v>0.3395833333</v>
      </c>
      <c r="K711" s="92">
        <f t="shared" si="10"/>
        <v>0.7368055556</v>
      </c>
      <c r="L711" s="92" t="str">
        <f>IFERROR(VLOOKUP(D711,'Công T5'!$C$7:$F$89,2,0),"")</f>
        <v/>
      </c>
      <c r="M711" s="92" t="str">
        <f>IFERROR(VLOOKUP(D711,'Công T5'!$C$7:$F$89,3,0),"")</f>
        <v/>
      </c>
      <c r="N711" s="92">
        <f t="shared" si="9"/>
        <v>0.3333333333</v>
      </c>
      <c r="O711" s="92">
        <f t="shared" si="2"/>
        <v>0.7083333333</v>
      </c>
      <c r="P711" s="94">
        <f t="shared" si="3"/>
        <v>0.5</v>
      </c>
      <c r="Q711" s="94">
        <f t="shared" si="4"/>
        <v>0.5</v>
      </c>
      <c r="R711" s="95">
        <f t="shared" si="5"/>
        <v>1</v>
      </c>
      <c r="S711" s="95">
        <f t="shared" si="6"/>
        <v>1</v>
      </c>
      <c r="T711" s="95">
        <f t="shared" si="7"/>
        <v>0</v>
      </c>
    </row>
    <row r="712">
      <c r="A712" s="89" t="s">
        <v>167</v>
      </c>
      <c r="B712" s="90"/>
      <c r="C712" s="90"/>
      <c r="D712" s="90"/>
      <c r="E712" s="90"/>
      <c r="F712" s="90"/>
      <c r="G712" s="90"/>
      <c r="H712" s="91"/>
      <c r="I712" s="92" t="str">
        <f>IFERROR(VLOOKUP(D712,'Công T5'!$C$7:$F$89,4,0),"")</f>
        <v/>
      </c>
      <c r="J712" s="92" t="str">
        <f t="shared" si="8"/>
        <v/>
      </c>
      <c r="K712" s="92" t="str">
        <f t="shared" si="10"/>
        <v/>
      </c>
      <c r="L712" s="92" t="str">
        <f>IFERROR(VLOOKUP(D712,'Công T5'!$C$7:$F$89,2,0),"")</f>
        <v/>
      </c>
      <c r="M712" s="92" t="str">
        <f>IFERROR(VLOOKUP(D712,'Công T5'!$C$7:$F$89,3,0),"")</f>
        <v/>
      </c>
      <c r="N712" s="92" t="str">
        <f t="shared" si="9"/>
        <v/>
      </c>
      <c r="O712" s="92" t="str">
        <f t="shared" si="2"/>
        <v/>
      </c>
      <c r="P712" s="94">
        <f t="shared" si="3"/>
        <v>0</v>
      </c>
      <c r="Q712" s="94" t="str">
        <f t="shared" si="4"/>
        <v/>
      </c>
      <c r="R712" s="95">
        <f t="shared" si="5"/>
        <v>0</v>
      </c>
      <c r="S712" s="95">
        <f t="shared" si="6"/>
        <v>0</v>
      </c>
      <c r="T712" s="95" t="str">
        <f t="shared" si="7"/>
        <v/>
      </c>
    </row>
    <row r="713">
      <c r="A713" s="96">
        <v>1.0</v>
      </c>
      <c r="B713" s="103">
        <v>44677.0</v>
      </c>
      <c r="C713" s="96">
        <v>10005.0</v>
      </c>
      <c r="D713" s="98" t="s">
        <v>70</v>
      </c>
      <c r="E713" s="98" t="s">
        <v>160</v>
      </c>
      <c r="F713" s="99">
        <v>0.3194444444444444</v>
      </c>
      <c r="G713" s="99">
        <v>0.7395833333333334</v>
      </c>
      <c r="H713" s="101"/>
      <c r="I713" s="92" t="str">
        <f>IFERROR(VLOOKUP(D713,'Công T5'!$C$7:$F$89,4,0),"")</f>
        <v>KT</v>
      </c>
      <c r="J713" s="92">
        <f t="shared" si="8"/>
        <v>0.3194444444</v>
      </c>
      <c r="K713" s="92">
        <f t="shared" si="10"/>
        <v>0.7395833333</v>
      </c>
      <c r="L713" s="92" t="str">
        <f>IFERROR(VLOOKUP(D713,'Công T5'!$C$7:$F$89,2,0),"")</f>
        <v/>
      </c>
      <c r="M713" s="92" t="str">
        <f>IFERROR(VLOOKUP(D713,'Công T5'!$C$7:$F$89,3,0),"")</f>
        <v/>
      </c>
      <c r="N713" s="92">
        <f t="shared" si="9"/>
        <v>0.3333333333</v>
      </c>
      <c r="O713" s="92">
        <f t="shared" si="2"/>
        <v>0.7083333333</v>
      </c>
      <c r="P713" s="94">
        <f t="shared" si="3"/>
        <v>0.5</v>
      </c>
      <c r="Q713" s="94">
        <f t="shared" si="4"/>
        <v>0.5</v>
      </c>
      <c r="R713" s="95">
        <f t="shared" si="5"/>
        <v>1</v>
      </c>
      <c r="S713" s="95">
        <f t="shared" si="6"/>
        <v>0</v>
      </c>
      <c r="T713" s="95">
        <f t="shared" si="7"/>
        <v>0</v>
      </c>
    </row>
    <row r="714">
      <c r="A714" s="96">
        <v>2.0</v>
      </c>
      <c r="B714" s="103">
        <v>44678.0</v>
      </c>
      <c r="C714" s="96">
        <v>10005.0</v>
      </c>
      <c r="D714" s="98" t="s">
        <v>70</v>
      </c>
      <c r="E714" s="98" t="s">
        <v>160</v>
      </c>
      <c r="F714" s="99">
        <v>0.32222222222222224</v>
      </c>
      <c r="G714" s="99">
        <v>0.7513888888888889</v>
      </c>
      <c r="H714" s="101"/>
      <c r="I714" s="92" t="str">
        <f>IFERROR(VLOOKUP(D714,'Công T5'!$C$7:$F$89,4,0),"")</f>
        <v>KT</v>
      </c>
      <c r="J714" s="92">
        <f t="shared" si="8"/>
        <v>0.3222222222</v>
      </c>
      <c r="K714" s="92">
        <f t="shared" si="10"/>
        <v>0.7513888889</v>
      </c>
      <c r="L714" s="92" t="str">
        <f>IFERROR(VLOOKUP(D714,'Công T5'!$C$7:$F$89,2,0),"")</f>
        <v/>
      </c>
      <c r="M714" s="92" t="str">
        <f>IFERROR(VLOOKUP(D714,'Công T5'!$C$7:$F$89,3,0),"")</f>
        <v/>
      </c>
      <c r="N714" s="92">
        <f t="shared" si="9"/>
        <v>0.3333333333</v>
      </c>
      <c r="O714" s="92">
        <f t="shared" si="2"/>
        <v>0.7083333333</v>
      </c>
      <c r="P714" s="94">
        <f t="shared" si="3"/>
        <v>0.5</v>
      </c>
      <c r="Q714" s="94">
        <f t="shared" si="4"/>
        <v>0.5</v>
      </c>
      <c r="R714" s="95">
        <f t="shared" si="5"/>
        <v>1</v>
      </c>
      <c r="S714" s="95">
        <f t="shared" si="6"/>
        <v>0</v>
      </c>
      <c r="T714" s="95">
        <f t="shared" si="7"/>
        <v>0</v>
      </c>
    </row>
    <row r="715">
      <c r="A715" s="96">
        <v>3.0</v>
      </c>
      <c r="B715" s="103">
        <v>44679.0</v>
      </c>
      <c r="C715" s="96">
        <v>10005.0</v>
      </c>
      <c r="D715" s="98" t="s">
        <v>70</v>
      </c>
      <c r="E715" s="98" t="s">
        <v>160</v>
      </c>
      <c r="F715" s="99">
        <v>0.32569444444444445</v>
      </c>
      <c r="G715" s="99">
        <v>0.7659722222222223</v>
      </c>
      <c r="H715" s="101"/>
      <c r="I715" s="92" t="str">
        <f>IFERROR(VLOOKUP(D715,'Công T5'!$C$7:$F$89,4,0),"")</f>
        <v>KT</v>
      </c>
      <c r="J715" s="92">
        <f t="shared" si="8"/>
        <v>0.3256944444</v>
      </c>
      <c r="K715" s="92">
        <f t="shared" si="10"/>
        <v>0.7659722222</v>
      </c>
      <c r="L715" s="92" t="str">
        <f>IFERROR(VLOOKUP(D715,'Công T5'!$C$7:$F$89,2,0),"")</f>
        <v/>
      </c>
      <c r="M715" s="92" t="str">
        <f>IFERROR(VLOOKUP(D715,'Công T5'!$C$7:$F$89,3,0),"")</f>
        <v/>
      </c>
      <c r="N715" s="92">
        <f t="shared" si="9"/>
        <v>0.3333333333</v>
      </c>
      <c r="O715" s="92">
        <f t="shared" si="2"/>
        <v>0.7083333333</v>
      </c>
      <c r="P715" s="94">
        <f t="shared" si="3"/>
        <v>0.5</v>
      </c>
      <c r="Q715" s="94">
        <f t="shared" si="4"/>
        <v>0.5</v>
      </c>
      <c r="R715" s="95">
        <f t="shared" si="5"/>
        <v>1</v>
      </c>
      <c r="S715" s="95">
        <f t="shared" si="6"/>
        <v>0</v>
      </c>
      <c r="T715" s="95">
        <f t="shared" si="7"/>
        <v>0</v>
      </c>
    </row>
    <row r="716">
      <c r="A716" s="96">
        <v>4.0</v>
      </c>
      <c r="B716" s="103">
        <v>44680.0</v>
      </c>
      <c r="C716" s="96">
        <v>10005.0</v>
      </c>
      <c r="D716" s="98" t="s">
        <v>70</v>
      </c>
      <c r="E716" s="98" t="s">
        <v>160</v>
      </c>
      <c r="F716" s="99">
        <v>0.3326388888888889</v>
      </c>
      <c r="G716" s="99">
        <v>0.7861111111111111</v>
      </c>
      <c r="H716" s="101"/>
      <c r="I716" s="92" t="str">
        <f>IFERROR(VLOOKUP(D716,'Công T5'!$C$7:$F$89,4,0),"")</f>
        <v>KT</v>
      </c>
      <c r="J716" s="92">
        <f t="shared" si="8"/>
        <v>0.3326388889</v>
      </c>
      <c r="K716" s="92">
        <f t="shared" si="10"/>
        <v>0.7861111111</v>
      </c>
      <c r="L716" s="92" t="str">
        <f>IFERROR(VLOOKUP(D716,'Công T5'!$C$7:$F$89,2,0),"")</f>
        <v/>
      </c>
      <c r="M716" s="92" t="str">
        <f>IFERROR(VLOOKUP(D716,'Công T5'!$C$7:$F$89,3,0),"")</f>
        <v/>
      </c>
      <c r="N716" s="92">
        <f t="shared" si="9"/>
        <v>0.3333333333</v>
      </c>
      <c r="O716" s="92">
        <f t="shared" si="2"/>
        <v>0.7083333333</v>
      </c>
      <c r="P716" s="94">
        <f t="shared" si="3"/>
        <v>0.5</v>
      </c>
      <c r="Q716" s="94">
        <f t="shared" si="4"/>
        <v>0.5</v>
      </c>
      <c r="R716" s="95">
        <f t="shared" si="5"/>
        <v>1</v>
      </c>
      <c r="S716" s="95">
        <f t="shared" si="6"/>
        <v>0</v>
      </c>
      <c r="T716" s="95">
        <f t="shared" si="7"/>
        <v>0</v>
      </c>
    </row>
    <row r="717">
      <c r="A717" s="96">
        <v>5.0</v>
      </c>
      <c r="B717" s="103">
        <v>44685.0</v>
      </c>
      <c r="C717" s="96">
        <v>10005.0</v>
      </c>
      <c r="D717" s="98" t="s">
        <v>70</v>
      </c>
      <c r="E717" s="98" t="s">
        <v>160</v>
      </c>
      <c r="F717" s="99">
        <v>0.3159722222222222</v>
      </c>
      <c r="G717" s="99">
        <v>0.7597222222222222</v>
      </c>
      <c r="H717" s="101"/>
      <c r="I717" s="92" t="str">
        <f>IFERROR(VLOOKUP(D717,'Công T5'!$C$7:$F$89,4,0),"")</f>
        <v>KT</v>
      </c>
      <c r="J717" s="92">
        <f t="shared" si="8"/>
        <v>0.3159722222</v>
      </c>
      <c r="K717" s="92">
        <f t="shared" si="10"/>
        <v>0.7597222222</v>
      </c>
      <c r="L717" s="92" t="str">
        <f>IFERROR(VLOOKUP(D717,'Công T5'!$C$7:$F$89,2,0),"")</f>
        <v/>
      </c>
      <c r="M717" s="92" t="str">
        <f>IFERROR(VLOOKUP(D717,'Công T5'!$C$7:$F$89,3,0),"")</f>
        <v/>
      </c>
      <c r="N717" s="92">
        <f t="shared" si="9"/>
        <v>0.3333333333</v>
      </c>
      <c r="O717" s="92">
        <f t="shared" si="2"/>
        <v>0.7083333333</v>
      </c>
      <c r="P717" s="94">
        <f t="shared" si="3"/>
        <v>0.5</v>
      </c>
      <c r="Q717" s="94">
        <f t="shared" si="4"/>
        <v>0.5</v>
      </c>
      <c r="R717" s="95">
        <f t="shared" si="5"/>
        <v>1</v>
      </c>
      <c r="S717" s="95">
        <f t="shared" si="6"/>
        <v>0</v>
      </c>
      <c r="T717" s="95">
        <f t="shared" si="7"/>
        <v>0</v>
      </c>
    </row>
    <row r="718">
      <c r="A718" s="96">
        <v>6.0</v>
      </c>
      <c r="B718" s="103">
        <v>44686.0</v>
      </c>
      <c r="C718" s="96">
        <v>10005.0</v>
      </c>
      <c r="D718" s="98" t="s">
        <v>70</v>
      </c>
      <c r="E718" s="98" t="s">
        <v>160</v>
      </c>
      <c r="F718" s="99">
        <v>0.31666666666666665</v>
      </c>
      <c r="G718" s="99">
        <v>0.7763888888888889</v>
      </c>
      <c r="H718" s="101"/>
      <c r="I718" s="92" t="str">
        <f>IFERROR(VLOOKUP(D718,'Công T5'!$C$7:$F$89,4,0),"")</f>
        <v>KT</v>
      </c>
      <c r="J718" s="92">
        <f t="shared" si="8"/>
        <v>0.3166666667</v>
      </c>
      <c r="K718" s="92">
        <f t="shared" si="10"/>
        <v>0.7763888889</v>
      </c>
      <c r="L718" s="92" t="str">
        <f>IFERROR(VLOOKUP(D718,'Công T5'!$C$7:$F$89,2,0),"")</f>
        <v/>
      </c>
      <c r="M718" s="92" t="str">
        <f>IFERROR(VLOOKUP(D718,'Công T5'!$C$7:$F$89,3,0),"")</f>
        <v/>
      </c>
      <c r="N718" s="92">
        <f t="shared" si="9"/>
        <v>0.3333333333</v>
      </c>
      <c r="O718" s="92">
        <f t="shared" si="2"/>
        <v>0.7083333333</v>
      </c>
      <c r="P718" s="94">
        <f t="shared" si="3"/>
        <v>0.5</v>
      </c>
      <c r="Q718" s="94">
        <f t="shared" si="4"/>
        <v>0.5</v>
      </c>
      <c r="R718" s="95">
        <f t="shared" si="5"/>
        <v>1</v>
      </c>
      <c r="S718" s="95">
        <f t="shared" si="6"/>
        <v>0</v>
      </c>
      <c r="T718" s="95">
        <f t="shared" si="7"/>
        <v>0</v>
      </c>
    </row>
    <row r="719">
      <c r="A719" s="96">
        <v>7.0</v>
      </c>
      <c r="B719" s="103">
        <v>44687.0</v>
      </c>
      <c r="C719" s="96">
        <v>10005.0</v>
      </c>
      <c r="D719" s="98" t="s">
        <v>70</v>
      </c>
      <c r="E719" s="98" t="s">
        <v>160</v>
      </c>
      <c r="F719" s="99">
        <v>0.31666666666666665</v>
      </c>
      <c r="G719" s="102"/>
      <c r="H719" s="101"/>
      <c r="I719" s="92" t="str">
        <f>IFERROR(VLOOKUP(D719,'Công T5'!$C$7:$F$89,4,0),"")</f>
        <v>KT</v>
      </c>
      <c r="J719" s="92">
        <f t="shared" si="8"/>
        <v>0.3166666667</v>
      </c>
      <c r="K719" s="92" t="str">
        <f t="shared" si="10"/>
        <v/>
      </c>
      <c r="L719" s="92" t="str">
        <f>IFERROR(VLOOKUP(D719,'Công T5'!$C$7:$F$89,2,0),"")</f>
        <v/>
      </c>
      <c r="M719" s="92" t="str">
        <f>IFERROR(VLOOKUP(D719,'Công T5'!$C$7:$F$89,3,0),"")</f>
        <v/>
      </c>
      <c r="N719" s="92">
        <f t="shared" si="9"/>
        <v>0.3333333333</v>
      </c>
      <c r="O719" s="92" t="str">
        <f t="shared" si="2"/>
        <v/>
      </c>
      <c r="P719" s="94">
        <f t="shared" si="3"/>
        <v>0</v>
      </c>
      <c r="Q719" s="94" t="str">
        <f t="shared" si="4"/>
        <v/>
      </c>
      <c r="R719" s="95">
        <f t="shared" si="5"/>
        <v>0.5</v>
      </c>
      <c r="S719" s="95" t="str">
        <f t="shared" si="6"/>
        <v/>
      </c>
      <c r="T719" s="95">
        <f t="shared" si="7"/>
        <v>1</v>
      </c>
    </row>
    <row r="720">
      <c r="A720" s="96">
        <v>8.0</v>
      </c>
      <c r="B720" s="103">
        <v>44688.0</v>
      </c>
      <c r="C720" s="96">
        <v>10005.0</v>
      </c>
      <c r="D720" s="98" t="s">
        <v>70</v>
      </c>
      <c r="E720" s="98" t="s">
        <v>160</v>
      </c>
      <c r="F720" s="99">
        <v>0.325</v>
      </c>
      <c r="G720" s="99">
        <v>0.7118055555555556</v>
      </c>
      <c r="H720" s="101"/>
      <c r="I720" s="92" t="str">
        <f>IFERROR(VLOOKUP(D720,'Công T5'!$C$7:$F$89,4,0),"")</f>
        <v>KT</v>
      </c>
      <c r="J720" s="92">
        <f t="shared" si="8"/>
        <v>0.325</v>
      </c>
      <c r="K720" s="92">
        <f t="shared" si="10"/>
        <v>0.7118055556</v>
      </c>
      <c r="L720" s="92" t="str">
        <f>IFERROR(VLOOKUP(D720,'Công T5'!$C$7:$F$89,2,0),"")</f>
        <v/>
      </c>
      <c r="M720" s="92" t="str">
        <f>IFERROR(VLOOKUP(D720,'Công T5'!$C$7:$F$89,3,0),"")</f>
        <v/>
      </c>
      <c r="N720" s="92">
        <f t="shared" si="9"/>
        <v>0.3333333333</v>
      </c>
      <c r="O720" s="92">
        <f t="shared" si="2"/>
        <v>0.7083333333</v>
      </c>
      <c r="P720" s="94">
        <f t="shared" si="3"/>
        <v>0.5</v>
      </c>
      <c r="Q720" s="94">
        <f t="shared" si="4"/>
        <v>0.5</v>
      </c>
      <c r="R720" s="95">
        <f t="shared" si="5"/>
        <v>1</v>
      </c>
      <c r="S720" s="95">
        <f t="shared" si="6"/>
        <v>0</v>
      </c>
      <c r="T720" s="95">
        <f t="shared" si="7"/>
        <v>0</v>
      </c>
    </row>
    <row r="721">
      <c r="A721" s="96">
        <v>9.0</v>
      </c>
      <c r="B721" s="103">
        <v>44691.0</v>
      </c>
      <c r="C721" s="96">
        <v>10005.0</v>
      </c>
      <c r="D721" s="98" t="s">
        <v>70</v>
      </c>
      <c r="E721" s="98" t="s">
        <v>160</v>
      </c>
      <c r="F721" s="99">
        <v>0.3194444444444444</v>
      </c>
      <c r="G721" s="99">
        <v>0.7277777777777777</v>
      </c>
      <c r="H721" s="101"/>
      <c r="I721" s="92" t="str">
        <f>IFERROR(VLOOKUP(D721,'Công T5'!$C$7:$F$89,4,0),"")</f>
        <v>KT</v>
      </c>
      <c r="J721" s="92">
        <f t="shared" si="8"/>
        <v>0.3194444444</v>
      </c>
      <c r="K721" s="92">
        <f t="shared" si="10"/>
        <v>0.7277777778</v>
      </c>
      <c r="L721" s="92" t="str">
        <f>IFERROR(VLOOKUP(D721,'Công T5'!$C$7:$F$89,2,0),"")</f>
        <v/>
      </c>
      <c r="M721" s="92" t="str">
        <f>IFERROR(VLOOKUP(D721,'Công T5'!$C$7:$F$89,3,0),"")</f>
        <v/>
      </c>
      <c r="N721" s="92">
        <f t="shared" si="9"/>
        <v>0.3333333333</v>
      </c>
      <c r="O721" s="92">
        <f t="shared" si="2"/>
        <v>0.7083333333</v>
      </c>
      <c r="P721" s="94">
        <f t="shared" si="3"/>
        <v>0.5</v>
      </c>
      <c r="Q721" s="94">
        <f t="shared" si="4"/>
        <v>0.5</v>
      </c>
      <c r="R721" s="95">
        <f t="shared" si="5"/>
        <v>1</v>
      </c>
      <c r="S721" s="95">
        <f t="shared" si="6"/>
        <v>0</v>
      </c>
      <c r="T721" s="95">
        <f t="shared" si="7"/>
        <v>0</v>
      </c>
    </row>
    <row r="722">
      <c r="A722" s="96">
        <v>10.0</v>
      </c>
      <c r="B722" s="103">
        <v>44692.0</v>
      </c>
      <c r="C722" s="96">
        <v>10005.0</v>
      </c>
      <c r="D722" s="98" t="s">
        <v>70</v>
      </c>
      <c r="E722" s="98" t="s">
        <v>160</v>
      </c>
      <c r="F722" s="99">
        <v>0.32222222222222224</v>
      </c>
      <c r="G722" s="99">
        <v>0.7916666666666666</v>
      </c>
      <c r="H722" s="101"/>
      <c r="I722" s="92" t="str">
        <f>IFERROR(VLOOKUP(D722,'Công T5'!$C$7:$F$89,4,0),"")</f>
        <v>KT</v>
      </c>
      <c r="J722" s="92">
        <f t="shared" si="8"/>
        <v>0.3222222222</v>
      </c>
      <c r="K722" s="92">
        <f t="shared" si="10"/>
        <v>0.7916666667</v>
      </c>
      <c r="L722" s="92" t="str">
        <f>IFERROR(VLOOKUP(D722,'Công T5'!$C$7:$F$89,2,0),"")</f>
        <v/>
      </c>
      <c r="M722" s="92" t="str">
        <f>IFERROR(VLOOKUP(D722,'Công T5'!$C$7:$F$89,3,0),"")</f>
        <v/>
      </c>
      <c r="N722" s="92">
        <f t="shared" si="9"/>
        <v>0.3333333333</v>
      </c>
      <c r="O722" s="92">
        <f t="shared" si="2"/>
        <v>0.7083333333</v>
      </c>
      <c r="P722" s="94">
        <f t="shared" si="3"/>
        <v>0.5</v>
      </c>
      <c r="Q722" s="94">
        <f t="shared" si="4"/>
        <v>0.5</v>
      </c>
      <c r="R722" s="95">
        <f t="shared" si="5"/>
        <v>1</v>
      </c>
      <c r="S722" s="95">
        <f t="shared" si="6"/>
        <v>0</v>
      </c>
      <c r="T722" s="95">
        <f t="shared" si="7"/>
        <v>0</v>
      </c>
    </row>
    <row r="723">
      <c r="A723" s="96">
        <v>11.0</v>
      </c>
      <c r="B723" s="103">
        <v>44693.0</v>
      </c>
      <c r="C723" s="96">
        <v>10005.0</v>
      </c>
      <c r="D723" s="98" t="s">
        <v>70</v>
      </c>
      <c r="E723" s="98" t="s">
        <v>160</v>
      </c>
      <c r="F723" s="99">
        <v>0.3236111111111111</v>
      </c>
      <c r="G723" s="99">
        <v>0.7381944444444445</v>
      </c>
      <c r="H723" s="101"/>
      <c r="I723" s="92" t="str">
        <f>IFERROR(VLOOKUP(D723,'Công T5'!$C$7:$F$89,4,0),"")</f>
        <v>KT</v>
      </c>
      <c r="J723" s="92">
        <f t="shared" si="8"/>
        <v>0.3236111111</v>
      </c>
      <c r="K723" s="92">
        <f t="shared" si="10"/>
        <v>0.7381944444</v>
      </c>
      <c r="L723" s="92" t="str">
        <f>IFERROR(VLOOKUP(D723,'Công T5'!$C$7:$F$89,2,0),"")</f>
        <v/>
      </c>
      <c r="M723" s="92" t="str">
        <f>IFERROR(VLOOKUP(D723,'Công T5'!$C$7:$F$89,3,0),"")</f>
        <v/>
      </c>
      <c r="N723" s="92">
        <f t="shared" si="9"/>
        <v>0.3333333333</v>
      </c>
      <c r="O723" s="92">
        <f t="shared" si="2"/>
        <v>0.7083333333</v>
      </c>
      <c r="P723" s="94">
        <f t="shared" si="3"/>
        <v>0.5</v>
      </c>
      <c r="Q723" s="94">
        <f t="shared" si="4"/>
        <v>0.5</v>
      </c>
      <c r="R723" s="95">
        <f t="shared" si="5"/>
        <v>1</v>
      </c>
      <c r="S723" s="95">
        <f t="shared" si="6"/>
        <v>0</v>
      </c>
      <c r="T723" s="95">
        <f t="shared" si="7"/>
        <v>0</v>
      </c>
    </row>
    <row r="724">
      <c r="A724" s="96">
        <v>12.0</v>
      </c>
      <c r="B724" s="103">
        <v>44694.0</v>
      </c>
      <c r="C724" s="96">
        <v>10005.0</v>
      </c>
      <c r="D724" s="98" t="s">
        <v>70</v>
      </c>
      <c r="E724" s="98" t="s">
        <v>160</v>
      </c>
      <c r="F724" s="99">
        <v>0.3138888888888889</v>
      </c>
      <c r="G724" s="99">
        <v>0.7409722222222223</v>
      </c>
      <c r="H724" s="101"/>
      <c r="I724" s="92" t="str">
        <f>IFERROR(VLOOKUP(D724,'Công T5'!$C$7:$F$89,4,0),"")</f>
        <v>KT</v>
      </c>
      <c r="J724" s="92">
        <f t="shared" si="8"/>
        <v>0.3138888889</v>
      </c>
      <c r="K724" s="92">
        <f t="shared" si="10"/>
        <v>0.7409722222</v>
      </c>
      <c r="L724" s="92" t="str">
        <f>IFERROR(VLOOKUP(D724,'Công T5'!$C$7:$F$89,2,0),"")</f>
        <v/>
      </c>
      <c r="M724" s="92" t="str">
        <f>IFERROR(VLOOKUP(D724,'Công T5'!$C$7:$F$89,3,0),"")</f>
        <v/>
      </c>
      <c r="N724" s="92">
        <f t="shared" si="9"/>
        <v>0.3333333333</v>
      </c>
      <c r="O724" s="92">
        <f t="shared" si="2"/>
        <v>0.7083333333</v>
      </c>
      <c r="P724" s="94">
        <f t="shared" si="3"/>
        <v>0.5</v>
      </c>
      <c r="Q724" s="94">
        <f t="shared" si="4"/>
        <v>0.5</v>
      </c>
      <c r="R724" s="95">
        <f t="shared" si="5"/>
        <v>1</v>
      </c>
      <c r="S724" s="95">
        <f t="shared" si="6"/>
        <v>0</v>
      </c>
      <c r="T724" s="95">
        <f t="shared" si="7"/>
        <v>0</v>
      </c>
    </row>
    <row r="725">
      <c r="A725" s="96">
        <v>13.0</v>
      </c>
      <c r="B725" s="103">
        <v>44697.0</v>
      </c>
      <c r="C725" s="96">
        <v>10005.0</v>
      </c>
      <c r="D725" s="98" t="s">
        <v>70</v>
      </c>
      <c r="E725" s="98" t="s">
        <v>160</v>
      </c>
      <c r="F725" s="99">
        <v>0.3263888888888889</v>
      </c>
      <c r="G725" s="99">
        <v>0.7784722222222222</v>
      </c>
      <c r="H725" s="101"/>
      <c r="I725" s="92" t="str">
        <f>IFERROR(VLOOKUP(D725,'Công T5'!$C$7:$F$89,4,0),"")</f>
        <v>KT</v>
      </c>
      <c r="J725" s="92">
        <f t="shared" si="8"/>
        <v>0.3263888889</v>
      </c>
      <c r="K725" s="92">
        <f t="shared" si="10"/>
        <v>0.7784722222</v>
      </c>
      <c r="L725" s="92" t="str">
        <f>IFERROR(VLOOKUP(D725,'Công T5'!$C$7:$F$89,2,0),"")</f>
        <v/>
      </c>
      <c r="M725" s="92" t="str">
        <f>IFERROR(VLOOKUP(D725,'Công T5'!$C$7:$F$89,3,0),"")</f>
        <v/>
      </c>
      <c r="N725" s="92">
        <f t="shared" si="9"/>
        <v>0.3333333333</v>
      </c>
      <c r="O725" s="92">
        <f t="shared" si="2"/>
        <v>0.7083333333</v>
      </c>
      <c r="P725" s="94">
        <f t="shared" si="3"/>
        <v>0.5</v>
      </c>
      <c r="Q725" s="94">
        <f t="shared" si="4"/>
        <v>0.5</v>
      </c>
      <c r="R725" s="95">
        <f t="shared" si="5"/>
        <v>1</v>
      </c>
      <c r="S725" s="95">
        <f t="shared" si="6"/>
        <v>0</v>
      </c>
      <c r="T725" s="95">
        <f t="shared" si="7"/>
        <v>0</v>
      </c>
    </row>
    <row r="726">
      <c r="A726" s="96">
        <v>14.0</v>
      </c>
      <c r="B726" s="103">
        <v>44698.0</v>
      </c>
      <c r="C726" s="96">
        <v>10005.0</v>
      </c>
      <c r="D726" s="98" t="s">
        <v>70</v>
      </c>
      <c r="E726" s="98" t="s">
        <v>160</v>
      </c>
      <c r="F726" s="99">
        <v>0.32083333333333336</v>
      </c>
      <c r="G726" s="99">
        <v>0.7652777777777777</v>
      </c>
      <c r="H726" s="101"/>
      <c r="I726" s="92" t="str">
        <f>IFERROR(VLOOKUP(D726,'Công T5'!$C$7:$F$89,4,0),"")</f>
        <v>KT</v>
      </c>
      <c r="J726" s="92">
        <f t="shared" si="8"/>
        <v>0.3208333333</v>
      </c>
      <c r="K726" s="92">
        <f t="shared" si="10"/>
        <v>0.7652777778</v>
      </c>
      <c r="L726" s="92" t="str">
        <f>IFERROR(VLOOKUP(D726,'Công T5'!$C$7:$F$89,2,0),"")</f>
        <v/>
      </c>
      <c r="M726" s="92" t="str">
        <f>IFERROR(VLOOKUP(D726,'Công T5'!$C$7:$F$89,3,0),"")</f>
        <v/>
      </c>
      <c r="N726" s="92">
        <f t="shared" si="9"/>
        <v>0.3333333333</v>
      </c>
      <c r="O726" s="92">
        <f t="shared" si="2"/>
        <v>0.7083333333</v>
      </c>
      <c r="P726" s="94">
        <f t="shared" si="3"/>
        <v>0.5</v>
      </c>
      <c r="Q726" s="94">
        <f t="shared" si="4"/>
        <v>0.5</v>
      </c>
      <c r="R726" s="95">
        <f t="shared" si="5"/>
        <v>1</v>
      </c>
      <c r="S726" s="95">
        <f t="shared" si="6"/>
        <v>0</v>
      </c>
      <c r="T726" s="95">
        <f t="shared" si="7"/>
        <v>0</v>
      </c>
    </row>
    <row r="727">
      <c r="A727" s="96">
        <v>15.0</v>
      </c>
      <c r="B727" s="103">
        <v>44699.0</v>
      </c>
      <c r="C727" s="96">
        <v>10005.0</v>
      </c>
      <c r="D727" s="98" t="s">
        <v>70</v>
      </c>
      <c r="E727" s="98" t="s">
        <v>160</v>
      </c>
      <c r="F727" s="99">
        <v>0.32569444444444445</v>
      </c>
      <c r="G727" s="99">
        <v>0.7506944444444444</v>
      </c>
      <c r="H727" s="101"/>
      <c r="I727" s="92" t="str">
        <f>IFERROR(VLOOKUP(D727,'Công T5'!$C$7:$F$89,4,0),"")</f>
        <v>KT</v>
      </c>
      <c r="J727" s="92">
        <f t="shared" si="8"/>
        <v>0.3256944444</v>
      </c>
      <c r="K727" s="92">
        <f t="shared" si="10"/>
        <v>0.7506944444</v>
      </c>
      <c r="L727" s="92" t="str">
        <f>IFERROR(VLOOKUP(D727,'Công T5'!$C$7:$F$89,2,0),"")</f>
        <v/>
      </c>
      <c r="M727" s="92" t="str">
        <f>IFERROR(VLOOKUP(D727,'Công T5'!$C$7:$F$89,3,0),"")</f>
        <v/>
      </c>
      <c r="N727" s="92">
        <f t="shared" si="9"/>
        <v>0.3333333333</v>
      </c>
      <c r="O727" s="92">
        <f t="shared" si="2"/>
        <v>0.7083333333</v>
      </c>
      <c r="P727" s="94">
        <f t="shared" si="3"/>
        <v>0.5</v>
      </c>
      <c r="Q727" s="94">
        <f t="shared" si="4"/>
        <v>0.5</v>
      </c>
      <c r="R727" s="95">
        <f t="shared" si="5"/>
        <v>1</v>
      </c>
      <c r="S727" s="95">
        <f t="shared" si="6"/>
        <v>0</v>
      </c>
      <c r="T727" s="95">
        <f t="shared" si="7"/>
        <v>0</v>
      </c>
    </row>
    <row r="728">
      <c r="A728" s="96">
        <v>16.0</v>
      </c>
      <c r="B728" s="103">
        <v>44700.0</v>
      </c>
      <c r="C728" s="96">
        <v>10005.0</v>
      </c>
      <c r="D728" s="98" t="s">
        <v>70</v>
      </c>
      <c r="E728" s="98" t="s">
        <v>160</v>
      </c>
      <c r="F728" s="99">
        <v>0.3277777777777778</v>
      </c>
      <c r="G728" s="102"/>
      <c r="H728" s="101"/>
      <c r="I728" s="92" t="str">
        <f>IFERROR(VLOOKUP(D728,'Công T5'!$C$7:$F$89,4,0),"")</f>
        <v>KT</v>
      </c>
      <c r="J728" s="92">
        <f t="shared" si="8"/>
        <v>0.3277777778</v>
      </c>
      <c r="K728" s="92" t="str">
        <f t="shared" si="10"/>
        <v/>
      </c>
      <c r="L728" s="92" t="str">
        <f>IFERROR(VLOOKUP(D728,'Công T5'!$C$7:$F$89,2,0),"")</f>
        <v/>
      </c>
      <c r="M728" s="92" t="str">
        <f>IFERROR(VLOOKUP(D728,'Công T5'!$C$7:$F$89,3,0),"")</f>
        <v/>
      </c>
      <c r="N728" s="92">
        <f t="shared" si="9"/>
        <v>0.3333333333</v>
      </c>
      <c r="O728" s="92" t="str">
        <f t="shared" si="2"/>
        <v/>
      </c>
      <c r="P728" s="94">
        <f t="shared" si="3"/>
        <v>0</v>
      </c>
      <c r="Q728" s="94" t="str">
        <f t="shared" si="4"/>
        <v/>
      </c>
      <c r="R728" s="95">
        <f t="shared" si="5"/>
        <v>0.5</v>
      </c>
      <c r="S728" s="95" t="str">
        <f t="shared" si="6"/>
        <v/>
      </c>
      <c r="T728" s="95">
        <f t="shared" si="7"/>
        <v>1</v>
      </c>
    </row>
    <row r="729">
      <c r="A729" s="96">
        <v>17.0</v>
      </c>
      <c r="B729" s="103">
        <v>44701.0</v>
      </c>
      <c r="C729" s="96">
        <v>10005.0</v>
      </c>
      <c r="D729" s="98" t="s">
        <v>70</v>
      </c>
      <c r="E729" s="98" t="s">
        <v>160</v>
      </c>
      <c r="F729" s="99">
        <v>0.32083333333333336</v>
      </c>
      <c r="G729" s="99">
        <v>0.7118055555555556</v>
      </c>
      <c r="H729" s="101"/>
      <c r="I729" s="92" t="str">
        <f>IFERROR(VLOOKUP(D729,'Công T5'!$C$7:$F$89,4,0),"")</f>
        <v>KT</v>
      </c>
      <c r="J729" s="92">
        <f t="shared" si="8"/>
        <v>0.3208333333</v>
      </c>
      <c r="K729" s="92">
        <f t="shared" si="10"/>
        <v>0.7118055556</v>
      </c>
      <c r="L729" s="92" t="str">
        <f>IFERROR(VLOOKUP(D729,'Công T5'!$C$7:$F$89,2,0),"")</f>
        <v/>
      </c>
      <c r="M729" s="92" t="str">
        <f>IFERROR(VLOOKUP(D729,'Công T5'!$C$7:$F$89,3,0),"")</f>
        <v/>
      </c>
      <c r="N729" s="92">
        <f t="shared" si="9"/>
        <v>0.3333333333</v>
      </c>
      <c r="O729" s="92">
        <f t="shared" si="2"/>
        <v>0.7083333333</v>
      </c>
      <c r="P729" s="94">
        <f t="shared" si="3"/>
        <v>0.5</v>
      </c>
      <c r="Q729" s="94">
        <f t="shared" si="4"/>
        <v>0.5</v>
      </c>
      <c r="R729" s="95">
        <f t="shared" si="5"/>
        <v>1</v>
      </c>
      <c r="S729" s="95">
        <f t="shared" si="6"/>
        <v>0</v>
      </c>
      <c r="T729" s="95">
        <f t="shared" si="7"/>
        <v>0</v>
      </c>
    </row>
    <row r="730">
      <c r="A730" s="96">
        <v>18.0</v>
      </c>
      <c r="B730" s="103">
        <v>44702.0</v>
      </c>
      <c r="C730" s="96">
        <v>10005.0</v>
      </c>
      <c r="D730" s="98" t="s">
        <v>70</v>
      </c>
      <c r="E730" s="98" t="s">
        <v>160</v>
      </c>
      <c r="F730" s="99">
        <v>0.32430555555555557</v>
      </c>
      <c r="G730" s="99">
        <v>0.7090277777777778</v>
      </c>
      <c r="H730" s="101"/>
      <c r="I730" s="92" t="str">
        <f>IFERROR(VLOOKUP(D730,'Công T5'!$C$7:$F$89,4,0),"")</f>
        <v>KT</v>
      </c>
      <c r="J730" s="92">
        <f t="shared" si="8"/>
        <v>0.3243055556</v>
      </c>
      <c r="K730" s="92">
        <f t="shared" si="10"/>
        <v>0.7090277778</v>
      </c>
      <c r="L730" s="92" t="str">
        <f>IFERROR(VLOOKUP(D730,'Công T5'!$C$7:$F$89,2,0),"")</f>
        <v/>
      </c>
      <c r="M730" s="92" t="str">
        <f>IFERROR(VLOOKUP(D730,'Công T5'!$C$7:$F$89,3,0),"")</f>
        <v/>
      </c>
      <c r="N730" s="92">
        <f t="shared" si="9"/>
        <v>0.3333333333</v>
      </c>
      <c r="O730" s="92">
        <f t="shared" si="2"/>
        <v>0.7083333333</v>
      </c>
      <c r="P730" s="94">
        <f t="shared" si="3"/>
        <v>0.5</v>
      </c>
      <c r="Q730" s="94">
        <f t="shared" si="4"/>
        <v>0.5</v>
      </c>
      <c r="R730" s="95">
        <f t="shared" si="5"/>
        <v>1</v>
      </c>
      <c r="S730" s="95">
        <f t="shared" si="6"/>
        <v>0</v>
      </c>
      <c r="T730" s="95">
        <f t="shared" si="7"/>
        <v>0</v>
      </c>
    </row>
    <row r="731">
      <c r="A731" s="96">
        <v>19.0</v>
      </c>
      <c r="B731" s="103">
        <v>44704.0</v>
      </c>
      <c r="C731" s="96">
        <v>10005.0</v>
      </c>
      <c r="D731" s="98" t="s">
        <v>70</v>
      </c>
      <c r="E731" s="98" t="s">
        <v>160</v>
      </c>
      <c r="F731" s="99">
        <v>0.3215277777777778</v>
      </c>
      <c r="G731" s="99">
        <v>0.7597222222222222</v>
      </c>
      <c r="H731" s="101"/>
      <c r="I731" s="92" t="str">
        <f>IFERROR(VLOOKUP(D731,'Công T5'!$C$7:$F$89,4,0),"")</f>
        <v>KT</v>
      </c>
      <c r="J731" s="92">
        <f t="shared" si="8"/>
        <v>0.3215277778</v>
      </c>
      <c r="K731" s="92">
        <f t="shared" si="10"/>
        <v>0.7597222222</v>
      </c>
      <c r="L731" s="92" t="str">
        <f>IFERROR(VLOOKUP(D731,'Công T5'!$C$7:$F$89,2,0),"")</f>
        <v/>
      </c>
      <c r="M731" s="92" t="str">
        <f>IFERROR(VLOOKUP(D731,'Công T5'!$C$7:$F$89,3,0),"")</f>
        <v/>
      </c>
      <c r="N731" s="92">
        <f t="shared" si="9"/>
        <v>0.3333333333</v>
      </c>
      <c r="O731" s="92">
        <f t="shared" si="2"/>
        <v>0.7083333333</v>
      </c>
      <c r="P731" s="94">
        <f t="shared" si="3"/>
        <v>0.5</v>
      </c>
      <c r="Q731" s="94">
        <f t="shared" si="4"/>
        <v>0.5</v>
      </c>
      <c r="R731" s="95">
        <f t="shared" si="5"/>
        <v>1</v>
      </c>
      <c r="S731" s="95">
        <f t="shared" si="6"/>
        <v>0</v>
      </c>
      <c r="T731" s="95">
        <f t="shared" si="7"/>
        <v>0</v>
      </c>
    </row>
    <row r="732">
      <c r="A732" s="96">
        <v>20.0</v>
      </c>
      <c r="B732" s="103">
        <v>44705.0</v>
      </c>
      <c r="C732" s="96">
        <v>10005.0</v>
      </c>
      <c r="D732" s="98" t="s">
        <v>70</v>
      </c>
      <c r="E732" s="98" t="s">
        <v>160</v>
      </c>
      <c r="F732" s="99">
        <v>0.3194444444444444</v>
      </c>
      <c r="G732" s="99">
        <v>0.7659722222222223</v>
      </c>
      <c r="H732" s="101"/>
      <c r="I732" s="92" t="str">
        <f>IFERROR(VLOOKUP(D732,'Công T5'!$C$7:$F$89,4,0),"")</f>
        <v>KT</v>
      </c>
      <c r="J732" s="92">
        <f t="shared" si="8"/>
        <v>0.3194444444</v>
      </c>
      <c r="K732" s="92">
        <f t="shared" si="10"/>
        <v>0.7659722222</v>
      </c>
      <c r="L732" s="92" t="str">
        <f>IFERROR(VLOOKUP(D732,'Công T5'!$C$7:$F$89,2,0),"")</f>
        <v/>
      </c>
      <c r="M732" s="92" t="str">
        <f>IFERROR(VLOOKUP(D732,'Công T5'!$C$7:$F$89,3,0),"")</f>
        <v/>
      </c>
      <c r="N732" s="92">
        <f t="shared" si="9"/>
        <v>0.3333333333</v>
      </c>
      <c r="O732" s="92">
        <f t="shared" si="2"/>
        <v>0.7083333333</v>
      </c>
      <c r="P732" s="94">
        <f t="shared" si="3"/>
        <v>0.5</v>
      </c>
      <c r="Q732" s="94">
        <f t="shared" si="4"/>
        <v>0.5</v>
      </c>
      <c r="R732" s="95">
        <f t="shared" si="5"/>
        <v>1</v>
      </c>
      <c r="S732" s="95">
        <f t="shared" si="6"/>
        <v>0</v>
      </c>
      <c r="T732" s="95">
        <f t="shared" si="7"/>
        <v>0</v>
      </c>
    </row>
    <row r="733">
      <c r="A733" s="96">
        <v>21.0</v>
      </c>
      <c r="B733" s="103">
        <v>44706.0</v>
      </c>
      <c r="C733" s="96">
        <v>10005.0</v>
      </c>
      <c r="D733" s="98" t="s">
        <v>70</v>
      </c>
      <c r="E733" s="98" t="s">
        <v>160</v>
      </c>
      <c r="F733" s="99">
        <v>0.33055555555555555</v>
      </c>
      <c r="G733" s="99">
        <v>0.6486111111111111</v>
      </c>
      <c r="H733" s="101"/>
      <c r="I733" s="92" t="str">
        <f>IFERROR(VLOOKUP(D733,'Công T5'!$C$7:$F$89,4,0),"")</f>
        <v>KT</v>
      </c>
      <c r="J733" s="92">
        <f t="shared" si="8"/>
        <v>0.3305555556</v>
      </c>
      <c r="K733" s="92">
        <f t="shared" si="10"/>
        <v>0.6486111111</v>
      </c>
      <c r="L733" s="92" t="str">
        <f>IFERROR(VLOOKUP(D733,'Công T5'!$C$7:$F$89,2,0),"")</f>
        <v/>
      </c>
      <c r="M733" s="92" t="str">
        <f>IFERROR(VLOOKUP(D733,'Công T5'!$C$7:$F$89,3,0),"")</f>
        <v/>
      </c>
      <c r="N733" s="92">
        <f t="shared" si="9"/>
        <v>0.3333333333</v>
      </c>
      <c r="O733" s="92">
        <f t="shared" si="2"/>
        <v>0.6486111111</v>
      </c>
      <c r="P733" s="94">
        <f t="shared" si="3"/>
        <v>0.5</v>
      </c>
      <c r="Q733" s="94">
        <f t="shared" si="4"/>
        <v>0.3208333333</v>
      </c>
      <c r="R733" s="95">
        <f t="shared" si="5"/>
        <v>0.8208333333</v>
      </c>
      <c r="S733" s="95">
        <f t="shared" si="6"/>
        <v>0</v>
      </c>
      <c r="T733" s="95">
        <f t="shared" si="7"/>
        <v>0</v>
      </c>
    </row>
    <row r="734">
      <c r="A734" s="96">
        <v>22.0</v>
      </c>
      <c r="B734" s="103">
        <v>44677.0</v>
      </c>
      <c r="C734" s="96">
        <v>10210.0</v>
      </c>
      <c r="D734" s="98" t="s">
        <v>73</v>
      </c>
      <c r="E734" s="98" t="s">
        <v>159</v>
      </c>
      <c r="F734" s="99">
        <v>0.3194444444444444</v>
      </c>
      <c r="G734" s="99">
        <v>0.7402777777777778</v>
      </c>
      <c r="H734" s="101"/>
      <c r="I734" s="92" t="str">
        <f>IFERROR(VLOOKUP(D734,'Công T5'!$C$7:$F$89,4,0),"")</f>
        <v>KT</v>
      </c>
      <c r="J734" s="92">
        <f t="shared" si="8"/>
        <v>0.3194444444</v>
      </c>
      <c r="K734" s="92">
        <f t="shared" si="10"/>
        <v>0.7402777778</v>
      </c>
      <c r="L734" s="92" t="str">
        <f>IFERROR(VLOOKUP(D734,'Công T5'!$C$7:$F$89,2,0),"")</f>
        <v/>
      </c>
      <c r="M734" s="92" t="str">
        <f>IFERROR(VLOOKUP(D734,'Công T5'!$C$7:$F$89,3,0),"")</f>
        <v/>
      </c>
      <c r="N734" s="92">
        <f t="shared" si="9"/>
        <v>0.3333333333</v>
      </c>
      <c r="O734" s="92">
        <f t="shared" si="2"/>
        <v>0.7083333333</v>
      </c>
      <c r="P734" s="94">
        <f t="shared" si="3"/>
        <v>0.5</v>
      </c>
      <c r="Q734" s="94">
        <f t="shared" si="4"/>
        <v>0.5</v>
      </c>
      <c r="R734" s="95">
        <f t="shared" si="5"/>
        <v>1</v>
      </c>
      <c r="S734" s="95">
        <f t="shared" si="6"/>
        <v>0</v>
      </c>
      <c r="T734" s="95">
        <f t="shared" si="7"/>
        <v>0</v>
      </c>
    </row>
    <row r="735">
      <c r="A735" s="96">
        <v>23.0</v>
      </c>
      <c r="B735" s="103">
        <v>44678.0</v>
      </c>
      <c r="C735" s="96">
        <v>10210.0</v>
      </c>
      <c r="D735" s="98" t="s">
        <v>73</v>
      </c>
      <c r="E735" s="98" t="s">
        <v>159</v>
      </c>
      <c r="F735" s="99">
        <v>0.3229166666666667</v>
      </c>
      <c r="G735" s="99">
        <v>0.7451388888888889</v>
      </c>
      <c r="H735" s="101"/>
      <c r="I735" s="92" t="str">
        <f>IFERROR(VLOOKUP(D735,'Công T5'!$C$7:$F$89,4,0),"")</f>
        <v>KT</v>
      </c>
      <c r="J735" s="92">
        <f t="shared" si="8"/>
        <v>0.3229166667</v>
      </c>
      <c r="K735" s="92">
        <f t="shared" si="10"/>
        <v>0.7451388889</v>
      </c>
      <c r="L735" s="92" t="str">
        <f>IFERROR(VLOOKUP(D735,'Công T5'!$C$7:$F$89,2,0),"")</f>
        <v/>
      </c>
      <c r="M735" s="92" t="str">
        <f>IFERROR(VLOOKUP(D735,'Công T5'!$C$7:$F$89,3,0),"")</f>
        <v/>
      </c>
      <c r="N735" s="92">
        <f t="shared" si="9"/>
        <v>0.3333333333</v>
      </c>
      <c r="O735" s="92">
        <f t="shared" si="2"/>
        <v>0.7083333333</v>
      </c>
      <c r="P735" s="94">
        <f t="shared" si="3"/>
        <v>0.5</v>
      </c>
      <c r="Q735" s="94">
        <f t="shared" si="4"/>
        <v>0.5</v>
      </c>
      <c r="R735" s="95">
        <f t="shared" si="5"/>
        <v>1</v>
      </c>
      <c r="S735" s="95">
        <f t="shared" si="6"/>
        <v>0</v>
      </c>
      <c r="T735" s="95">
        <f t="shared" si="7"/>
        <v>0</v>
      </c>
    </row>
    <row r="736">
      <c r="A736" s="96">
        <v>24.0</v>
      </c>
      <c r="B736" s="103">
        <v>44679.0</v>
      </c>
      <c r="C736" s="96">
        <v>10210.0</v>
      </c>
      <c r="D736" s="98" t="s">
        <v>73</v>
      </c>
      <c r="E736" s="98" t="s">
        <v>159</v>
      </c>
      <c r="F736" s="99">
        <v>0.31805555555555554</v>
      </c>
      <c r="G736" s="99">
        <v>0.7444444444444445</v>
      </c>
      <c r="H736" s="101"/>
      <c r="I736" s="92" t="str">
        <f>IFERROR(VLOOKUP(D736,'Công T5'!$C$7:$F$89,4,0),"")</f>
        <v>KT</v>
      </c>
      <c r="J736" s="92">
        <f t="shared" si="8"/>
        <v>0.3180555556</v>
      </c>
      <c r="K736" s="92">
        <f t="shared" si="10"/>
        <v>0.7444444444</v>
      </c>
      <c r="L736" s="92" t="str">
        <f>IFERROR(VLOOKUP(D736,'Công T5'!$C$7:$F$89,2,0),"")</f>
        <v/>
      </c>
      <c r="M736" s="92" t="str">
        <f>IFERROR(VLOOKUP(D736,'Công T5'!$C$7:$F$89,3,0),"")</f>
        <v/>
      </c>
      <c r="N736" s="92">
        <f t="shared" si="9"/>
        <v>0.3333333333</v>
      </c>
      <c r="O736" s="92">
        <f t="shared" si="2"/>
        <v>0.7083333333</v>
      </c>
      <c r="P736" s="94">
        <f t="shared" si="3"/>
        <v>0.5</v>
      </c>
      <c r="Q736" s="94">
        <f t="shared" si="4"/>
        <v>0.5</v>
      </c>
      <c r="R736" s="95">
        <f t="shared" si="5"/>
        <v>1</v>
      </c>
      <c r="S736" s="95">
        <f t="shared" si="6"/>
        <v>0</v>
      </c>
      <c r="T736" s="95">
        <f t="shared" si="7"/>
        <v>0</v>
      </c>
    </row>
    <row r="737">
      <c r="A737" s="96">
        <v>25.0</v>
      </c>
      <c r="B737" s="103">
        <v>44680.0</v>
      </c>
      <c r="C737" s="96">
        <v>10210.0</v>
      </c>
      <c r="D737" s="98" t="s">
        <v>73</v>
      </c>
      <c r="E737" s="98" t="s">
        <v>159</v>
      </c>
      <c r="F737" s="99">
        <v>0.32083333333333336</v>
      </c>
      <c r="G737" s="99">
        <v>0.7861111111111111</v>
      </c>
      <c r="H737" s="101"/>
      <c r="I737" s="92" t="str">
        <f>IFERROR(VLOOKUP(D737,'Công T5'!$C$7:$F$89,4,0),"")</f>
        <v>KT</v>
      </c>
      <c r="J737" s="92">
        <f t="shared" si="8"/>
        <v>0.3208333333</v>
      </c>
      <c r="K737" s="92">
        <f t="shared" si="10"/>
        <v>0.7861111111</v>
      </c>
      <c r="L737" s="92" t="str">
        <f>IFERROR(VLOOKUP(D737,'Công T5'!$C$7:$F$89,2,0),"")</f>
        <v/>
      </c>
      <c r="M737" s="92" t="str">
        <f>IFERROR(VLOOKUP(D737,'Công T5'!$C$7:$F$89,3,0),"")</f>
        <v/>
      </c>
      <c r="N737" s="92">
        <f t="shared" si="9"/>
        <v>0.3333333333</v>
      </c>
      <c r="O737" s="92">
        <f t="shared" si="2"/>
        <v>0.7083333333</v>
      </c>
      <c r="P737" s="94">
        <f t="shared" si="3"/>
        <v>0.5</v>
      </c>
      <c r="Q737" s="94">
        <f t="shared" si="4"/>
        <v>0.5</v>
      </c>
      <c r="R737" s="95">
        <f t="shared" si="5"/>
        <v>1</v>
      </c>
      <c r="S737" s="95">
        <f t="shared" si="6"/>
        <v>0</v>
      </c>
      <c r="T737" s="95">
        <f t="shared" si="7"/>
        <v>0</v>
      </c>
    </row>
    <row r="738">
      <c r="A738" s="96">
        <v>26.0</v>
      </c>
      <c r="B738" s="103">
        <v>44685.0</v>
      </c>
      <c r="C738" s="96">
        <v>10210.0</v>
      </c>
      <c r="D738" s="98" t="s">
        <v>73</v>
      </c>
      <c r="E738" s="98" t="s">
        <v>159</v>
      </c>
      <c r="F738" s="99">
        <v>0.3125</v>
      </c>
      <c r="G738" s="99">
        <v>0.7597222222222222</v>
      </c>
      <c r="H738" s="101"/>
      <c r="I738" s="92" t="str">
        <f>IFERROR(VLOOKUP(D738,'Công T5'!$C$7:$F$89,4,0),"")</f>
        <v>KT</v>
      </c>
      <c r="J738" s="92">
        <f t="shared" si="8"/>
        <v>0.3125</v>
      </c>
      <c r="K738" s="92">
        <f t="shared" si="10"/>
        <v>0.7597222222</v>
      </c>
      <c r="L738" s="92" t="str">
        <f>IFERROR(VLOOKUP(D738,'Công T5'!$C$7:$F$89,2,0),"")</f>
        <v/>
      </c>
      <c r="M738" s="92" t="str">
        <f>IFERROR(VLOOKUP(D738,'Công T5'!$C$7:$F$89,3,0),"")</f>
        <v/>
      </c>
      <c r="N738" s="92">
        <f t="shared" si="9"/>
        <v>0.3333333333</v>
      </c>
      <c r="O738" s="92">
        <f t="shared" si="2"/>
        <v>0.7083333333</v>
      </c>
      <c r="P738" s="94">
        <f t="shared" si="3"/>
        <v>0.5</v>
      </c>
      <c r="Q738" s="94">
        <f t="shared" si="4"/>
        <v>0.5</v>
      </c>
      <c r="R738" s="95">
        <f t="shared" si="5"/>
        <v>1</v>
      </c>
      <c r="S738" s="95">
        <f t="shared" si="6"/>
        <v>0</v>
      </c>
      <c r="T738" s="95">
        <f t="shared" si="7"/>
        <v>0</v>
      </c>
    </row>
    <row r="739">
      <c r="A739" s="96">
        <v>27.0</v>
      </c>
      <c r="B739" s="103">
        <v>44686.0</v>
      </c>
      <c r="C739" s="96">
        <v>10210.0</v>
      </c>
      <c r="D739" s="98" t="s">
        <v>73</v>
      </c>
      <c r="E739" s="98" t="s">
        <v>159</v>
      </c>
      <c r="F739" s="99">
        <v>0.3173611111111111</v>
      </c>
      <c r="G739" s="99">
        <v>0.7763888888888889</v>
      </c>
      <c r="H739" s="101"/>
      <c r="I739" s="92" t="str">
        <f>IFERROR(VLOOKUP(D739,'Công T5'!$C$7:$F$89,4,0),"")</f>
        <v>KT</v>
      </c>
      <c r="J739" s="92">
        <f t="shared" si="8"/>
        <v>0.3173611111</v>
      </c>
      <c r="K739" s="92">
        <f t="shared" si="10"/>
        <v>0.7763888889</v>
      </c>
      <c r="L739" s="92" t="str">
        <f>IFERROR(VLOOKUP(D739,'Công T5'!$C$7:$F$89,2,0),"")</f>
        <v/>
      </c>
      <c r="M739" s="92" t="str">
        <f>IFERROR(VLOOKUP(D739,'Công T5'!$C$7:$F$89,3,0),"")</f>
        <v/>
      </c>
      <c r="N739" s="92">
        <f t="shared" si="9"/>
        <v>0.3333333333</v>
      </c>
      <c r="O739" s="92">
        <f t="shared" si="2"/>
        <v>0.7083333333</v>
      </c>
      <c r="P739" s="94">
        <f t="shared" si="3"/>
        <v>0.5</v>
      </c>
      <c r="Q739" s="94">
        <f t="shared" si="4"/>
        <v>0.5</v>
      </c>
      <c r="R739" s="95">
        <f t="shared" si="5"/>
        <v>1</v>
      </c>
      <c r="S739" s="95">
        <f t="shared" si="6"/>
        <v>0</v>
      </c>
      <c r="T739" s="95">
        <f t="shared" si="7"/>
        <v>0</v>
      </c>
    </row>
    <row r="740">
      <c r="A740" s="96">
        <v>28.0</v>
      </c>
      <c r="B740" s="103">
        <v>44687.0</v>
      </c>
      <c r="C740" s="96">
        <v>10210.0</v>
      </c>
      <c r="D740" s="98" t="s">
        <v>73</v>
      </c>
      <c r="E740" s="98" t="s">
        <v>159</v>
      </c>
      <c r="F740" s="99">
        <v>0.31666666666666665</v>
      </c>
      <c r="G740" s="99">
        <v>0.7423611111111111</v>
      </c>
      <c r="H740" s="101"/>
      <c r="I740" s="92" t="str">
        <f>IFERROR(VLOOKUP(D740,'Công T5'!$C$7:$F$89,4,0),"")</f>
        <v>KT</v>
      </c>
      <c r="J740" s="92">
        <f t="shared" si="8"/>
        <v>0.3166666667</v>
      </c>
      <c r="K740" s="92">
        <f t="shared" si="10"/>
        <v>0.7423611111</v>
      </c>
      <c r="L740" s="92" t="str">
        <f>IFERROR(VLOOKUP(D740,'Công T5'!$C$7:$F$89,2,0),"")</f>
        <v/>
      </c>
      <c r="M740" s="92" t="str">
        <f>IFERROR(VLOOKUP(D740,'Công T5'!$C$7:$F$89,3,0),"")</f>
        <v/>
      </c>
      <c r="N740" s="92">
        <f t="shared" si="9"/>
        <v>0.3333333333</v>
      </c>
      <c r="O740" s="92">
        <f t="shared" si="2"/>
        <v>0.7083333333</v>
      </c>
      <c r="P740" s="94">
        <f t="shared" si="3"/>
        <v>0.5</v>
      </c>
      <c r="Q740" s="94">
        <f t="shared" si="4"/>
        <v>0.5</v>
      </c>
      <c r="R740" s="95">
        <f t="shared" si="5"/>
        <v>1</v>
      </c>
      <c r="S740" s="95">
        <f t="shared" si="6"/>
        <v>0</v>
      </c>
      <c r="T740" s="95">
        <f t="shared" si="7"/>
        <v>0</v>
      </c>
    </row>
    <row r="741">
      <c r="A741" s="96">
        <v>29.0</v>
      </c>
      <c r="B741" s="103">
        <v>44688.0</v>
      </c>
      <c r="C741" s="96">
        <v>10210.0</v>
      </c>
      <c r="D741" s="98" t="s">
        <v>73</v>
      </c>
      <c r="E741" s="98" t="s">
        <v>159</v>
      </c>
      <c r="F741" s="99">
        <v>0.32222222222222224</v>
      </c>
      <c r="G741" s="99">
        <v>0.74375</v>
      </c>
      <c r="H741" s="101"/>
      <c r="I741" s="92" t="str">
        <f>IFERROR(VLOOKUP(D741,'Công T5'!$C$7:$F$89,4,0),"")</f>
        <v>KT</v>
      </c>
      <c r="J741" s="92">
        <f t="shared" si="8"/>
        <v>0.3222222222</v>
      </c>
      <c r="K741" s="92">
        <f t="shared" si="10"/>
        <v>0.74375</v>
      </c>
      <c r="L741" s="92" t="str">
        <f>IFERROR(VLOOKUP(D741,'Công T5'!$C$7:$F$89,2,0),"")</f>
        <v/>
      </c>
      <c r="M741" s="92" t="str">
        <f>IFERROR(VLOOKUP(D741,'Công T5'!$C$7:$F$89,3,0),"")</f>
        <v/>
      </c>
      <c r="N741" s="92">
        <f t="shared" si="9"/>
        <v>0.3333333333</v>
      </c>
      <c r="O741" s="92">
        <f t="shared" si="2"/>
        <v>0.7083333333</v>
      </c>
      <c r="P741" s="94">
        <f t="shared" si="3"/>
        <v>0.5</v>
      </c>
      <c r="Q741" s="94">
        <f t="shared" si="4"/>
        <v>0.5</v>
      </c>
      <c r="R741" s="95">
        <f t="shared" si="5"/>
        <v>1</v>
      </c>
      <c r="S741" s="95">
        <f t="shared" si="6"/>
        <v>0</v>
      </c>
      <c r="T741" s="95">
        <f t="shared" si="7"/>
        <v>0</v>
      </c>
    </row>
    <row r="742">
      <c r="A742" s="96">
        <v>30.0</v>
      </c>
      <c r="B742" s="103">
        <v>44690.0</v>
      </c>
      <c r="C742" s="96">
        <v>10210.0</v>
      </c>
      <c r="D742" s="98" t="s">
        <v>73</v>
      </c>
      <c r="E742" s="98" t="s">
        <v>159</v>
      </c>
      <c r="F742" s="99">
        <v>0.32222222222222224</v>
      </c>
      <c r="G742" s="99">
        <v>0.7423611111111111</v>
      </c>
      <c r="H742" s="101"/>
      <c r="I742" s="92" t="str">
        <f>IFERROR(VLOOKUP(D742,'Công T5'!$C$7:$F$89,4,0),"")</f>
        <v>KT</v>
      </c>
      <c r="J742" s="92">
        <f t="shared" si="8"/>
        <v>0.3222222222</v>
      </c>
      <c r="K742" s="92">
        <f t="shared" si="10"/>
        <v>0.7423611111</v>
      </c>
      <c r="L742" s="92" t="str">
        <f>IFERROR(VLOOKUP(D742,'Công T5'!$C$7:$F$89,2,0),"")</f>
        <v/>
      </c>
      <c r="M742" s="92" t="str">
        <f>IFERROR(VLOOKUP(D742,'Công T5'!$C$7:$F$89,3,0),"")</f>
        <v/>
      </c>
      <c r="N742" s="92">
        <f t="shared" si="9"/>
        <v>0.3333333333</v>
      </c>
      <c r="O742" s="92">
        <f t="shared" si="2"/>
        <v>0.7083333333</v>
      </c>
      <c r="P742" s="94">
        <f t="shared" si="3"/>
        <v>0.5</v>
      </c>
      <c r="Q742" s="94">
        <f t="shared" si="4"/>
        <v>0.5</v>
      </c>
      <c r="R742" s="95">
        <f t="shared" si="5"/>
        <v>1</v>
      </c>
      <c r="S742" s="95">
        <f t="shared" si="6"/>
        <v>0</v>
      </c>
      <c r="T742" s="95">
        <f t="shared" si="7"/>
        <v>0</v>
      </c>
    </row>
    <row r="743">
      <c r="A743" s="96">
        <v>31.0</v>
      </c>
      <c r="B743" s="103">
        <v>44691.0</v>
      </c>
      <c r="C743" s="96">
        <v>10210.0</v>
      </c>
      <c r="D743" s="98" t="s">
        <v>73</v>
      </c>
      <c r="E743" s="98" t="s">
        <v>159</v>
      </c>
      <c r="F743" s="99">
        <v>0.31319444444444444</v>
      </c>
      <c r="G743" s="99">
        <v>0.7604166666666666</v>
      </c>
      <c r="H743" s="101"/>
      <c r="I743" s="92" t="str">
        <f>IFERROR(VLOOKUP(D743,'Công T5'!$C$7:$F$89,4,0),"")</f>
        <v>KT</v>
      </c>
      <c r="J743" s="92">
        <f t="shared" si="8"/>
        <v>0.3131944444</v>
      </c>
      <c r="K743" s="92">
        <f t="shared" si="10"/>
        <v>0.7604166667</v>
      </c>
      <c r="L743" s="92" t="str">
        <f>IFERROR(VLOOKUP(D743,'Công T5'!$C$7:$F$89,2,0),"")</f>
        <v/>
      </c>
      <c r="M743" s="92" t="str">
        <f>IFERROR(VLOOKUP(D743,'Công T5'!$C$7:$F$89,3,0),"")</f>
        <v/>
      </c>
      <c r="N743" s="92">
        <f t="shared" si="9"/>
        <v>0.3333333333</v>
      </c>
      <c r="O743" s="92">
        <f t="shared" si="2"/>
        <v>0.7083333333</v>
      </c>
      <c r="P743" s="94">
        <f t="shared" si="3"/>
        <v>0.5</v>
      </c>
      <c r="Q743" s="94">
        <f t="shared" si="4"/>
        <v>0.5</v>
      </c>
      <c r="R743" s="95">
        <f t="shared" si="5"/>
        <v>1</v>
      </c>
      <c r="S743" s="95">
        <f t="shared" si="6"/>
        <v>0</v>
      </c>
      <c r="T743" s="95">
        <f t="shared" si="7"/>
        <v>0</v>
      </c>
    </row>
    <row r="744">
      <c r="A744" s="96">
        <v>32.0</v>
      </c>
      <c r="B744" s="103">
        <v>44692.0</v>
      </c>
      <c r="C744" s="96">
        <v>10210.0</v>
      </c>
      <c r="D744" s="98" t="s">
        <v>73</v>
      </c>
      <c r="E744" s="98" t="s">
        <v>159</v>
      </c>
      <c r="F744" s="99">
        <v>0.3173611111111111</v>
      </c>
      <c r="G744" s="99">
        <v>0.7930555555555555</v>
      </c>
      <c r="H744" s="101"/>
      <c r="I744" s="92" t="str">
        <f>IFERROR(VLOOKUP(D744,'Công T5'!$C$7:$F$89,4,0),"")</f>
        <v>KT</v>
      </c>
      <c r="J744" s="92">
        <f t="shared" si="8"/>
        <v>0.3173611111</v>
      </c>
      <c r="K744" s="92">
        <f t="shared" si="10"/>
        <v>0.7930555556</v>
      </c>
      <c r="L744" s="92" t="str">
        <f>IFERROR(VLOOKUP(D744,'Công T5'!$C$7:$F$89,2,0),"")</f>
        <v/>
      </c>
      <c r="M744" s="92" t="str">
        <f>IFERROR(VLOOKUP(D744,'Công T5'!$C$7:$F$89,3,0),"")</f>
        <v/>
      </c>
      <c r="N744" s="92">
        <f t="shared" si="9"/>
        <v>0.3333333333</v>
      </c>
      <c r="O744" s="92">
        <f t="shared" si="2"/>
        <v>0.7083333333</v>
      </c>
      <c r="P744" s="94">
        <f t="shared" si="3"/>
        <v>0.5</v>
      </c>
      <c r="Q744" s="94">
        <f t="shared" si="4"/>
        <v>0.5</v>
      </c>
      <c r="R744" s="95">
        <f t="shared" si="5"/>
        <v>1</v>
      </c>
      <c r="S744" s="95">
        <f t="shared" si="6"/>
        <v>0</v>
      </c>
      <c r="T744" s="95">
        <f t="shared" si="7"/>
        <v>0</v>
      </c>
    </row>
    <row r="745">
      <c r="A745" s="96">
        <v>33.0</v>
      </c>
      <c r="B745" s="103">
        <v>44693.0</v>
      </c>
      <c r="C745" s="96">
        <v>10210.0</v>
      </c>
      <c r="D745" s="98" t="s">
        <v>73</v>
      </c>
      <c r="E745" s="98" t="s">
        <v>159</v>
      </c>
      <c r="F745" s="99">
        <v>0.3194444444444444</v>
      </c>
      <c r="G745" s="99">
        <v>0.7631944444444444</v>
      </c>
      <c r="H745" s="101"/>
      <c r="I745" s="92" t="str">
        <f>IFERROR(VLOOKUP(D745,'Công T5'!$C$7:$F$89,4,0),"")</f>
        <v>KT</v>
      </c>
      <c r="J745" s="92">
        <f t="shared" si="8"/>
        <v>0.3194444444</v>
      </c>
      <c r="K745" s="92">
        <f t="shared" si="10"/>
        <v>0.7631944444</v>
      </c>
      <c r="L745" s="92" t="str">
        <f>IFERROR(VLOOKUP(D745,'Công T5'!$C$7:$F$89,2,0),"")</f>
        <v/>
      </c>
      <c r="M745" s="92" t="str">
        <f>IFERROR(VLOOKUP(D745,'Công T5'!$C$7:$F$89,3,0),"")</f>
        <v/>
      </c>
      <c r="N745" s="92">
        <f t="shared" si="9"/>
        <v>0.3333333333</v>
      </c>
      <c r="O745" s="92">
        <f t="shared" si="2"/>
        <v>0.7083333333</v>
      </c>
      <c r="P745" s="94">
        <f t="shared" si="3"/>
        <v>0.5</v>
      </c>
      <c r="Q745" s="94">
        <f t="shared" si="4"/>
        <v>0.5</v>
      </c>
      <c r="R745" s="95">
        <f t="shared" si="5"/>
        <v>1</v>
      </c>
      <c r="S745" s="95">
        <f t="shared" si="6"/>
        <v>0</v>
      </c>
      <c r="T745" s="95">
        <f t="shared" si="7"/>
        <v>0</v>
      </c>
    </row>
    <row r="746">
      <c r="A746" s="96">
        <v>34.0</v>
      </c>
      <c r="B746" s="103">
        <v>44694.0</v>
      </c>
      <c r="C746" s="96">
        <v>10210.0</v>
      </c>
      <c r="D746" s="98" t="s">
        <v>73</v>
      </c>
      <c r="E746" s="98" t="s">
        <v>159</v>
      </c>
      <c r="F746" s="99">
        <v>0.32013888888888886</v>
      </c>
      <c r="G746" s="99">
        <v>0.7479166666666667</v>
      </c>
      <c r="H746" s="101"/>
      <c r="I746" s="92" t="str">
        <f>IFERROR(VLOOKUP(D746,'Công T5'!$C$7:$F$89,4,0),"")</f>
        <v>KT</v>
      </c>
      <c r="J746" s="92">
        <f t="shared" si="8"/>
        <v>0.3201388889</v>
      </c>
      <c r="K746" s="92">
        <f t="shared" si="10"/>
        <v>0.7479166667</v>
      </c>
      <c r="L746" s="92" t="str">
        <f>IFERROR(VLOOKUP(D746,'Công T5'!$C$7:$F$89,2,0),"")</f>
        <v/>
      </c>
      <c r="M746" s="92" t="str">
        <f>IFERROR(VLOOKUP(D746,'Công T5'!$C$7:$F$89,3,0),"")</f>
        <v/>
      </c>
      <c r="N746" s="92">
        <f t="shared" si="9"/>
        <v>0.3333333333</v>
      </c>
      <c r="O746" s="92">
        <f t="shared" si="2"/>
        <v>0.7083333333</v>
      </c>
      <c r="P746" s="94">
        <f t="shared" si="3"/>
        <v>0.5</v>
      </c>
      <c r="Q746" s="94">
        <f t="shared" si="4"/>
        <v>0.5</v>
      </c>
      <c r="R746" s="95">
        <f t="shared" si="5"/>
        <v>1</v>
      </c>
      <c r="S746" s="95">
        <f t="shared" si="6"/>
        <v>0</v>
      </c>
      <c r="T746" s="95">
        <f t="shared" si="7"/>
        <v>0</v>
      </c>
    </row>
    <row r="747">
      <c r="A747" s="96">
        <v>35.0</v>
      </c>
      <c r="B747" s="103">
        <v>44697.0</v>
      </c>
      <c r="C747" s="96">
        <v>10210.0</v>
      </c>
      <c r="D747" s="98" t="s">
        <v>73</v>
      </c>
      <c r="E747" s="98" t="s">
        <v>159</v>
      </c>
      <c r="F747" s="99">
        <v>0.3194444444444444</v>
      </c>
      <c r="G747" s="99">
        <v>0.7583333333333333</v>
      </c>
      <c r="H747" s="101"/>
      <c r="I747" s="92" t="str">
        <f>IFERROR(VLOOKUP(D747,'Công T5'!$C$7:$F$89,4,0),"")</f>
        <v>KT</v>
      </c>
      <c r="J747" s="92">
        <f t="shared" si="8"/>
        <v>0.3194444444</v>
      </c>
      <c r="K747" s="92">
        <f t="shared" si="10"/>
        <v>0.7583333333</v>
      </c>
      <c r="L747" s="92" t="str">
        <f>IFERROR(VLOOKUP(D747,'Công T5'!$C$7:$F$89,2,0),"")</f>
        <v/>
      </c>
      <c r="M747" s="92" t="str">
        <f>IFERROR(VLOOKUP(D747,'Công T5'!$C$7:$F$89,3,0),"")</f>
        <v/>
      </c>
      <c r="N747" s="92">
        <f t="shared" si="9"/>
        <v>0.3333333333</v>
      </c>
      <c r="O747" s="92">
        <f t="shared" si="2"/>
        <v>0.7083333333</v>
      </c>
      <c r="P747" s="94">
        <f t="shared" si="3"/>
        <v>0.5</v>
      </c>
      <c r="Q747" s="94">
        <f t="shared" si="4"/>
        <v>0.5</v>
      </c>
      <c r="R747" s="95">
        <f t="shared" si="5"/>
        <v>1</v>
      </c>
      <c r="S747" s="95">
        <f t="shared" si="6"/>
        <v>0</v>
      </c>
      <c r="T747" s="95">
        <f t="shared" si="7"/>
        <v>0</v>
      </c>
    </row>
    <row r="748">
      <c r="A748" s="96">
        <v>36.0</v>
      </c>
      <c r="B748" s="103">
        <v>44698.0</v>
      </c>
      <c r="C748" s="96">
        <v>10210.0</v>
      </c>
      <c r="D748" s="98" t="s">
        <v>73</v>
      </c>
      <c r="E748" s="98" t="s">
        <v>159</v>
      </c>
      <c r="F748" s="99">
        <v>0.31527777777777777</v>
      </c>
      <c r="G748" s="99">
        <v>0.7652777777777777</v>
      </c>
      <c r="H748" s="101"/>
      <c r="I748" s="92" t="str">
        <f>IFERROR(VLOOKUP(D748,'Công T5'!$C$7:$F$89,4,0),"")</f>
        <v>KT</v>
      </c>
      <c r="J748" s="92">
        <f t="shared" si="8"/>
        <v>0.3152777778</v>
      </c>
      <c r="K748" s="92">
        <f t="shared" si="10"/>
        <v>0.7652777778</v>
      </c>
      <c r="L748" s="92" t="str">
        <f>IFERROR(VLOOKUP(D748,'Công T5'!$C$7:$F$89,2,0),"")</f>
        <v/>
      </c>
      <c r="M748" s="92" t="str">
        <f>IFERROR(VLOOKUP(D748,'Công T5'!$C$7:$F$89,3,0),"")</f>
        <v/>
      </c>
      <c r="N748" s="92">
        <f t="shared" si="9"/>
        <v>0.3333333333</v>
      </c>
      <c r="O748" s="92">
        <f t="shared" si="2"/>
        <v>0.7083333333</v>
      </c>
      <c r="P748" s="94">
        <f t="shared" si="3"/>
        <v>0.5</v>
      </c>
      <c r="Q748" s="94">
        <f t="shared" si="4"/>
        <v>0.5</v>
      </c>
      <c r="R748" s="95">
        <f t="shared" si="5"/>
        <v>1</v>
      </c>
      <c r="S748" s="95">
        <f t="shared" si="6"/>
        <v>0</v>
      </c>
      <c r="T748" s="95">
        <f t="shared" si="7"/>
        <v>0</v>
      </c>
    </row>
    <row r="749">
      <c r="A749" s="96">
        <v>37.0</v>
      </c>
      <c r="B749" s="103">
        <v>44699.0</v>
      </c>
      <c r="C749" s="96">
        <v>10210.0</v>
      </c>
      <c r="D749" s="98" t="s">
        <v>73</v>
      </c>
      <c r="E749" s="98" t="s">
        <v>159</v>
      </c>
      <c r="F749" s="99">
        <v>0.32083333333333336</v>
      </c>
      <c r="G749" s="99">
        <v>0.7493055555555556</v>
      </c>
      <c r="H749" s="101"/>
      <c r="I749" s="92" t="str">
        <f>IFERROR(VLOOKUP(D749,'Công T5'!$C$7:$F$89,4,0),"")</f>
        <v>KT</v>
      </c>
      <c r="J749" s="92">
        <f t="shared" si="8"/>
        <v>0.3208333333</v>
      </c>
      <c r="K749" s="92">
        <f t="shared" si="10"/>
        <v>0.7493055556</v>
      </c>
      <c r="L749" s="92" t="str">
        <f>IFERROR(VLOOKUP(D749,'Công T5'!$C$7:$F$89,2,0),"")</f>
        <v/>
      </c>
      <c r="M749" s="92" t="str">
        <f>IFERROR(VLOOKUP(D749,'Công T5'!$C$7:$F$89,3,0),"")</f>
        <v/>
      </c>
      <c r="N749" s="92">
        <f t="shared" si="9"/>
        <v>0.3333333333</v>
      </c>
      <c r="O749" s="92">
        <f t="shared" si="2"/>
        <v>0.7083333333</v>
      </c>
      <c r="P749" s="94">
        <f t="shared" si="3"/>
        <v>0.5</v>
      </c>
      <c r="Q749" s="94">
        <f t="shared" si="4"/>
        <v>0.5</v>
      </c>
      <c r="R749" s="95">
        <f t="shared" si="5"/>
        <v>1</v>
      </c>
      <c r="S749" s="95">
        <f t="shared" si="6"/>
        <v>0</v>
      </c>
      <c r="T749" s="95">
        <f t="shared" si="7"/>
        <v>0</v>
      </c>
    </row>
    <row r="750">
      <c r="A750" s="96">
        <v>38.0</v>
      </c>
      <c r="B750" s="103">
        <v>44700.0</v>
      </c>
      <c r="C750" s="96">
        <v>10210.0</v>
      </c>
      <c r="D750" s="98" t="s">
        <v>73</v>
      </c>
      <c r="E750" s="98" t="s">
        <v>159</v>
      </c>
      <c r="F750" s="99">
        <v>0.325</v>
      </c>
      <c r="G750" s="99">
        <v>0.7513888888888889</v>
      </c>
      <c r="H750" s="101"/>
      <c r="I750" s="92" t="str">
        <f>IFERROR(VLOOKUP(D750,'Công T5'!$C$7:$F$89,4,0),"")</f>
        <v>KT</v>
      </c>
      <c r="J750" s="92">
        <f t="shared" si="8"/>
        <v>0.325</v>
      </c>
      <c r="K750" s="92">
        <f t="shared" si="10"/>
        <v>0.7513888889</v>
      </c>
      <c r="L750" s="92" t="str">
        <f>IFERROR(VLOOKUP(D750,'Công T5'!$C$7:$F$89,2,0),"")</f>
        <v/>
      </c>
      <c r="M750" s="92" t="str">
        <f>IFERROR(VLOOKUP(D750,'Công T5'!$C$7:$F$89,3,0),"")</f>
        <v/>
      </c>
      <c r="N750" s="92">
        <f t="shared" si="9"/>
        <v>0.3333333333</v>
      </c>
      <c r="O750" s="92">
        <f t="shared" si="2"/>
        <v>0.7083333333</v>
      </c>
      <c r="P750" s="94">
        <f t="shared" si="3"/>
        <v>0.5</v>
      </c>
      <c r="Q750" s="94">
        <f t="shared" si="4"/>
        <v>0.5</v>
      </c>
      <c r="R750" s="95">
        <f t="shared" si="5"/>
        <v>1</v>
      </c>
      <c r="S750" s="95">
        <f t="shared" si="6"/>
        <v>0</v>
      </c>
      <c r="T750" s="95">
        <f t="shared" si="7"/>
        <v>0</v>
      </c>
    </row>
    <row r="751">
      <c r="A751" s="96">
        <v>39.0</v>
      </c>
      <c r="B751" s="103">
        <v>44701.0</v>
      </c>
      <c r="C751" s="96">
        <v>10210.0</v>
      </c>
      <c r="D751" s="98" t="s">
        <v>73</v>
      </c>
      <c r="E751" s="98" t="s">
        <v>159</v>
      </c>
      <c r="F751" s="99">
        <v>0.3236111111111111</v>
      </c>
      <c r="G751" s="99">
        <v>0.7493055555555556</v>
      </c>
      <c r="H751" s="101"/>
      <c r="I751" s="92" t="str">
        <f>IFERROR(VLOOKUP(D751,'Công T5'!$C$7:$F$89,4,0),"")</f>
        <v>KT</v>
      </c>
      <c r="J751" s="92">
        <f t="shared" si="8"/>
        <v>0.3236111111</v>
      </c>
      <c r="K751" s="92">
        <f t="shared" si="10"/>
        <v>0.7493055556</v>
      </c>
      <c r="L751" s="92" t="str">
        <f>IFERROR(VLOOKUP(D751,'Công T5'!$C$7:$F$89,2,0),"")</f>
        <v/>
      </c>
      <c r="M751" s="92" t="str">
        <f>IFERROR(VLOOKUP(D751,'Công T5'!$C$7:$F$89,3,0),"")</f>
        <v/>
      </c>
      <c r="N751" s="92">
        <f t="shared" si="9"/>
        <v>0.3333333333</v>
      </c>
      <c r="O751" s="92">
        <f t="shared" si="2"/>
        <v>0.7083333333</v>
      </c>
      <c r="P751" s="94">
        <f t="shared" si="3"/>
        <v>0.5</v>
      </c>
      <c r="Q751" s="94">
        <f t="shared" si="4"/>
        <v>0.5</v>
      </c>
      <c r="R751" s="95">
        <f t="shared" si="5"/>
        <v>1</v>
      </c>
      <c r="S751" s="95">
        <f t="shared" si="6"/>
        <v>0</v>
      </c>
      <c r="T751" s="95">
        <f t="shared" si="7"/>
        <v>0</v>
      </c>
    </row>
    <row r="752">
      <c r="A752" s="96">
        <v>40.0</v>
      </c>
      <c r="B752" s="103">
        <v>44702.0</v>
      </c>
      <c r="C752" s="96">
        <v>10210.0</v>
      </c>
      <c r="D752" s="98" t="s">
        <v>73</v>
      </c>
      <c r="E752" s="98" t="s">
        <v>159</v>
      </c>
      <c r="F752" s="99">
        <v>0.32708333333333334</v>
      </c>
      <c r="G752" s="99">
        <v>0.7208333333333333</v>
      </c>
      <c r="H752" s="101"/>
      <c r="I752" s="92" t="str">
        <f>IFERROR(VLOOKUP(D752,'Công T5'!$C$7:$F$89,4,0),"")</f>
        <v>KT</v>
      </c>
      <c r="J752" s="92">
        <f t="shared" si="8"/>
        <v>0.3270833333</v>
      </c>
      <c r="K752" s="92">
        <f t="shared" si="10"/>
        <v>0.7208333333</v>
      </c>
      <c r="L752" s="92" t="str">
        <f>IFERROR(VLOOKUP(D752,'Công T5'!$C$7:$F$89,2,0),"")</f>
        <v/>
      </c>
      <c r="M752" s="92" t="str">
        <f>IFERROR(VLOOKUP(D752,'Công T5'!$C$7:$F$89,3,0),"")</f>
        <v/>
      </c>
      <c r="N752" s="92">
        <f t="shared" si="9"/>
        <v>0.3333333333</v>
      </c>
      <c r="O752" s="92">
        <f t="shared" si="2"/>
        <v>0.7083333333</v>
      </c>
      <c r="P752" s="94">
        <f t="shared" si="3"/>
        <v>0.5</v>
      </c>
      <c r="Q752" s="94">
        <f t="shared" si="4"/>
        <v>0.5</v>
      </c>
      <c r="R752" s="95">
        <f t="shared" si="5"/>
        <v>1</v>
      </c>
      <c r="S752" s="95">
        <f t="shared" si="6"/>
        <v>0</v>
      </c>
      <c r="T752" s="95">
        <f t="shared" si="7"/>
        <v>0</v>
      </c>
    </row>
    <row r="753">
      <c r="A753" s="96">
        <v>41.0</v>
      </c>
      <c r="B753" s="103">
        <v>44704.0</v>
      </c>
      <c r="C753" s="96">
        <v>10210.0</v>
      </c>
      <c r="D753" s="98" t="s">
        <v>73</v>
      </c>
      <c r="E753" s="98" t="s">
        <v>159</v>
      </c>
      <c r="F753" s="99">
        <v>0.32916666666666666</v>
      </c>
      <c r="G753" s="99">
        <v>0.7576388888888889</v>
      </c>
      <c r="H753" s="101"/>
      <c r="I753" s="92" t="str">
        <f>IFERROR(VLOOKUP(D753,'Công T5'!$C$7:$F$89,4,0),"")</f>
        <v>KT</v>
      </c>
      <c r="J753" s="92">
        <f t="shared" si="8"/>
        <v>0.3291666667</v>
      </c>
      <c r="K753" s="92">
        <f t="shared" si="10"/>
        <v>0.7576388889</v>
      </c>
      <c r="L753" s="92" t="str">
        <f>IFERROR(VLOOKUP(D753,'Công T5'!$C$7:$F$89,2,0),"")</f>
        <v/>
      </c>
      <c r="M753" s="92" t="str">
        <f>IFERROR(VLOOKUP(D753,'Công T5'!$C$7:$F$89,3,0),"")</f>
        <v/>
      </c>
      <c r="N753" s="92">
        <f t="shared" si="9"/>
        <v>0.3333333333</v>
      </c>
      <c r="O753" s="92">
        <f t="shared" si="2"/>
        <v>0.7083333333</v>
      </c>
      <c r="P753" s="94">
        <f t="shared" si="3"/>
        <v>0.5</v>
      </c>
      <c r="Q753" s="94">
        <f t="shared" si="4"/>
        <v>0.5</v>
      </c>
      <c r="R753" s="95">
        <f t="shared" si="5"/>
        <v>1</v>
      </c>
      <c r="S753" s="95">
        <f t="shared" si="6"/>
        <v>0</v>
      </c>
      <c r="T753" s="95">
        <f t="shared" si="7"/>
        <v>0</v>
      </c>
    </row>
    <row r="754">
      <c r="A754" s="96">
        <v>42.0</v>
      </c>
      <c r="B754" s="103">
        <v>44705.0</v>
      </c>
      <c r="C754" s="96">
        <v>10210.0</v>
      </c>
      <c r="D754" s="98" t="s">
        <v>73</v>
      </c>
      <c r="E754" s="98" t="s">
        <v>159</v>
      </c>
      <c r="F754" s="99">
        <v>0.32013888888888886</v>
      </c>
      <c r="G754" s="99">
        <v>0.7486111111111111</v>
      </c>
      <c r="H754" s="101"/>
      <c r="I754" s="92" t="str">
        <f>IFERROR(VLOOKUP(D754,'Công T5'!$C$7:$F$89,4,0),"")</f>
        <v>KT</v>
      </c>
      <c r="J754" s="92">
        <f t="shared" si="8"/>
        <v>0.3201388889</v>
      </c>
      <c r="K754" s="92">
        <f t="shared" si="10"/>
        <v>0.7486111111</v>
      </c>
      <c r="L754" s="92" t="str">
        <f>IFERROR(VLOOKUP(D754,'Công T5'!$C$7:$F$89,2,0),"")</f>
        <v/>
      </c>
      <c r="M754" s="92" t="str">
        <f>IFERROR(VLOOKUP(D754,'Công T5'!$C$7:$F$89,3,0),"")</f>
        <v/>
      </c>
      <c r="N754" s="92">
        <f t="shared" si="9"/>
        <v>0.3333333333</v>
      </c>
      <c r="O754" s="92">
        <f t="shared" si="2"/>
        <v>0.7083333333</v>
      </c>
      <c r="P754" s="94">
        <f t="shared" si="3"/>
        <v>0.5</v>
      </c>
      <c r="Q754" s="94">
        <f t="shared" si="4"/>
        <v>0.5</v>
      </c>
      <c r="R754" s="95">
        <f t="shared" si="5"/>
        <v>1</v>
      </c>
      <c r="S754" s="95">
        <f t="shared" si="6"/>
        <v>0</v>
      </c>
      <c r="T754" s="95">
        <f t="shared" si="7"/>
        <v>0</v>
      </c>
    </row>
    <row r="755">
      <c r="A755" s="96">
        <v>43.0</v>
      </c>
      <c r="B755" s="103">
        <v>44706.0</v>
      </c>
      <c r="C755" s="96">
        <v>10210.0</v>
      </c>
      <c r="D755" s="98" t="s">
        <v>73</v>
      </c>
      <c r="E755" s="98" t="s">
        <v>159</v>
      </c>
      <c r="F755" s="99">
        <v>0.3229166666666667</v>
      </c>
      <c r="G755" s="99">
        <v>0.7555555555555555</v>
      </c>
      <c r="H755" s="101"/>
      <c r="I755" s="92" t="str">
        <f>IFERROR(VLOOKUP(D755,'Công T5'!$C$7:$F$89,4,0),"")</f>
        <v>KT</v>
      </c>
      <c r="J755" s="92">
        <f t="shared" si="8"/>
        <v>0.3229166667</v>
      </c>
      <c r="K755" s="92">
        <f t="shared" si="10"/>
        <v>0.7555555556</v>
      </c>
      <c r="L755" s="92" t="str">
        <f>IFERROR(VLOOKUP(D755,'Công T5'!$C$7:$F$89,2,0),"")</f>
        <v/>
      </c>
      <c r="M755" s="92" t="str">
        <f>IFERROR(VLOOKUP(D755,'Công T5'!$C$7:$F$89,3,0),"")</f>
        <v/>
      </c>
      <c r="N755" s="92">
        <f t="shared" si="9"/>
        <v>0.3333333333</v>
      </c>
      <c r="O755" s="92">
        <f t="shared" si="2"/>
        <v>0.7083333333</v>
      </c>
      <c r="P755" s="94">
        <f t="shared" si="3"/>
        <v>0.5</v>
      </c>
      <c r="Q755" s="94">
        <f t="shared" si="4"/>
        <v>0.5</v>
      </c>
      <c r="R755" s="95">
        <f t="shared" si="5"/>
        <v>1</v>
      </c>
      <c r="S755" s="95">
        <f t="shared" si="6"/>
        <v>0</v>
      </c>
      <c r="T755" s="95">
        <f t="shared" si="7"/>
        <v>0</v>
      </c>
    </row>
    <row r="756">
      <c r="A756" s="89" t="s">
        <v>168</v>
      </c>
      <c r="B756" s="90"/>
      <c r="C756" s="90"/>
      <c r="D756" s="90"/>
      <c r="E756" s="90"/>
      <c r="F756" s="90"/>
      <c r="G756" s="90"/>
      <c r="H756" s="91"/>
      <c r="I756" s="92" t="str">
        <f>IFERROR(VLOOKUP(D756,'Công T5'!$C$7:$F$89,4,0),"")</f>
        <v/>
      </c>
      <c r="J756" s="92" t="str">
        <f t="shared" si="8"/>
        <v/>
      </c>
      <c r="K756" s="92" t="str">
        <f t="shared" si="10"/>
        <v/>
      </c>
      <c r="L756" s="92" t="str">
        <f>IFERROR(VLOOKUP(D756,'Công T5'!$C$7:$F$89,2,0),"")</f>
        <v/>
      </c>
      <c r="M756" s="92" t="str">
        <f>IFERROR(VLOOKUP(D756,'Công T5'!$C$7:$F$89,3,0),"")</f>
        <v/>
      </c>
      <c r="N756" s="92" t="str">
        <f t="shared" si="9"/>
        <v/>
      </c>
      <c r="O756" s="92" t="str">
        <f t="shared" si="2"/>
        <v/>
      </c>
      <c r="P756" s="94">
        <f t="shared" si="3"/>
        <v>0</v>
      </c>
      <c r="Q756" s="94" t="str">
        <f t="shared" si="4"/>
        <v/>
      </c>
      <c r="R756" s="95">
        <f t="shared" si="5"/>
        <v>0</v>
      </c>
      <c r="S756" s="95">
        <f t="shared" si="6"/>
        <v>0</v>
      </c>
      <c r="T756" s="95" t="str">
        <f t="shared" si="7"/>
        <v/>
      </c>
    </row>
    <row r="757">
      <c r="A757" s="96">
        <v>1.0</v>
      </c>
      <c r="B757" s="103">
        <v>44677.0</v>
      </c>
      <c r="C757" s="96">
        <v>10009.0</v>
      </c>
      <c r="D757" s="98" t="s">
        <v>86</v>
      </c>
      <c r="E757" s="98" t="s">
        <v>162</v>
      </c>
      <c r="F757" s="99">
        <v>0.33055555555555555</v>
      </c>
      <c r="G757" s="99">
        <v>0.7618055555555555</v>
      </c>
      <c r="H757" s="101"/>
      <c r="I757" s="92" t="str">
        <f>IFERROR(VLOOKUP(D757,'Công T5'!$C$7:$F$89,4,0),"")</f>
        <v>TV</v>
      </c>
      <c r="J757" s="92">
        <f t="shared" si="8"/>
        <v>0.3305555556</v>
      </c>
      <c r="K757" s="92">
        <f t="shared" si="10"/>
        <v>0.7618055556</v>
      </c>
      <c r="L757" s="92" t="str">
        <f>IFERROR(VLOOKUP(D757,'Công T5'!$C$7:$F$89,2,0),"")</f>
        <v/>
      </c>
      <c r="M757" s="92" t="str">
        <f>IFERROR(VLOOKUP(D757,'Công T5'!$C$7:$F$89,3,0),"")</f>
        <v/>
      </c>
      <c r="N757" s="92">
        <f t="shared" si="9"/>
        <v>0.3333333333</v>
      </c>
      <c r="O757" s="92">
        <f t="shared" si="2"/>
        <v>0.7083333333</v>
      </c>
      <c r="P757" s="94">
        <f t="shared" si="3"/>
        <v>0.5</v>
      </c>
      <c r="Q757" s="94">
        <f t="shared" si="4"/>
        <v>0.5</v>
      </c>
      <c r="R757" s="95">
        <f t="shared" si="5"/>
        <v>1</v>
      </c>
      <c r="S757" s="95">
        <f t="shared" si="6"/>
        <v>0</v>
      </c>
      <c r="T757" s="95">
        <f t="shared" si="7"/>
        <v>0</v>
      </c>
    </row>
    <row r="758">
      <c r="A758" s="96">
        <v>2.0</v>
      </c>
      <c r="B758" s="103">
        <v>44678.0</v>
      </c>
      <c r="C758" s="96">
        <v>10009.0</v>
      </c>
      <c r="D758" s="98" t="s">
        <v>86</v>
      </c>
      <c r="E758" s="98" t="s">
        <v>162</v>
      </c>
      <c r="F758" s="99">
        <v>0.3263888888888889</v>
      </c>
      <c r="G758" s="99">
        <v>0.7527777777777778</v>
      </c>
      <c r="H758" s="101"/>
      <c r="I758" s="92" t="str">
        <f>IFERROR(VLOOKUP(D758,'Công T5'!$C$7:$F$89,4,0),"")</f>
        <v>TV</v>
      </c>
      <c r="J758" s="92">
        <f t="shared" si="8"/>
        <v>0.3263888889</v>
      </c>
      <c r="K758" s="92">
        <f t="shared" si="10"/>
        <v>0.7527777778</v>
      </c>
      <c r="L758" s="92" t="str">
        <f>IFERROR(VLOOKUP(D758,'Công T5'!$C$7:$F$89,2,0),"")</f>
        <v/>
      </c>
      <c r="M758" s="92" t="str">
        <f>IFERROR(VLOOKUP(D758,'Công T5'!$C$7:$F$89,3,0),"")</f>
        <v/>
      </c>
      <c r="N758" s="92">
        <f t="shared" si="9"/>
        <v>0.3333333333</v>
      </c>
      <c r="O758" s="92">
        <f t="shared" si="2"/>
        <v>0.7083333333</v>
      </c>
      <c r="P758" s="94">
        <f t="shared" si="3"/>
        <v>0.5</v>
      </c>
      <c r="Q758" s="94">
        <f t="shared" si="4"/>
        <v>0.5</v>
      </c>
      <c r="R758" s="95">
        <f t="shared" si="5"/>
        <v>1</v>
      </c>
      <c r="S758" s="95">
        <f t="shared" si="6"/>
        <v>0</v>
      </c>
      <c r="T758" s="95">
        <f t="shared" si="7"/>
        <v>0</v>
      </c>
    </row>
    <row r="759">
      <c r="A759" s="96">
        <v>3.0</v>
      </c>
      <c r="B759" s="103">
        <v>44679.0</v>
      </c>
      <c r="C759" s="96">
        <v>10009.0</v>
      </c>
      <c r="D759" s="98" t="s">
        <v>86</v>
      </c>
      <c r="E759" s="98" t="s">
        <v>162</v>
      </c>
      <c r="F759" s="99">
        <v>0.3236111111111111</v>
      </c>
      <c r="G759" s="99">
        <v>0.7375</v>
      </c>
      <c r="H759" s="101"/>
      <c r="I759" s="92" t="str">
        <f>IFERROR(VLOOKUP(D759,'Công T5'!$C$7:$F$89,4,0),"")</f>
        <v>TV</v>
      </c>
      <c r="J759" s="92">
        <f t="shared" si="8"/>
        <v>0.3236111111</v>
      </c>
      <c r="K759" s="92">
        <f t="shared" si="10"/>
        <v>0.7375</v>
      </c>
      <c r="L759" s="92" t="str">
        <f>IFERROR(VLOOKUP(D759,'Công T5'!$C$7:$F$89,2,0),"")</f>
        <v/>
      </c>
      <c r="M759" s="92" t="str">
        <f>IFERROR(VLOOKUP(D759,'Công T5'!$C$7:$F$89,3,0),"")</f>
        <v/>
      </c>
      <c r="N759" s="92">
        <f t="shared" si="9"/>
        <v>0.3333333333</v>
      </c>
      <c r="O759" s="92">
        <f t="shared" si="2"/>
        <v>0.7083333333</v>
      </c>
      <c r="P759" s="94">
        <f t="shared" si="3"/>
        <v>0.5</v>
      </c>
      <c r="Q759" s="94">
        <f t="shared" si="4"/>
        <v>0.5</v>
      </c>
      <c r="R759" s="95">
        <f t="shared" si="5"/>
        <v>1</v>
      </c>
      <c r="S759" s="95">
        <f t="shared" si="6"/>
        <v>0</v>
      </c>
      <c r="T759" s="95">
        <f t="shared" si="7"/>
        <v>0</v>
      </c>
    </row>
    <row r="760">
      <c r="A760" s="96">
        <v>4.0</v>
      </c>
      <c r="B760" s="103">
        <v>44680.0</v>
      </c>
      <c r="C760" s="96">
        <v>10009.0</v>
      </c>
      <c r="D760" s="98" t="s">
        <v>86</v>
      </c>
      <c r="E760" s="98" t="s">
        <v>162</v>
      </c>
      <c r="F760" s="99">
        <v>0.3229166666666667</v>
      </c>
      <c r="G760" s="99">
        <v>0.7180555555555556</v>
      </c>
      <c r="H760" s="101"/>
      <c r="I760" s="92" t="str">
        <f>IFERROR(VLOOKUP(D760,'Công T5'!$C$7:$F$89,4,0),"")</f>
        <v>TV</v>
      </c>
      <c r="J760" s="92">
        <f t="shared" si="8"/>
        <v>0.3229166667</v>
      </c>
      <c r="K760" s="92">
        <f t="shared" si="10"/>
        <v>0.7180555556</v>
      </c>
      <c r="L760" s="92" t="str">
        <f>IFERROR(VLOOKUP(D760,'Công T5'!$C$7:$F$89,2,0),"")</f>
        <v/>
      </c>
      <c r="M760" s="92" t="str">
        <f>IFERROR(VLOOKUP(D760,'Công T5'!$C$7:$F$89,3,0),"")</f>
        <v/>
      </c>
      <c r="N760" s="92">
        <f t="shared" si="9"/>
        <v>0.3333333333</v>
      </c>
      <c r="O760" s="92">
        <f t="shared" si="2"/>
        <v>0.7083333333</v>
      </c>
      <c r="P760" s="94">
        <f t="shared" si="3"/>
        <v>0.5</v>
      </c>
      <c r="Q760" s="94">
        <f t="shared" si="4"/>
        <v>0.5</v>
      </c>
      <c r="R760" s="95">
        <f t="shared" si="5"/>
        <v>1</v>
      </c>
      <c r="S760" s="95">
        <f t="shared" si="6"/>
        <v>0</v>
      </c>
      <c r="T760" s="95">
        <f t="shared" si="7"/>
        <v>0</v>
      </c>
    </row>
    <row r="761">
      <c r="A761" s="96">
        <v>5.0</v>
      </c>
      <c r="B761" s="103">
        <v>44685.0</v>
      </c>
      <c r="C761" s="96">
        <v>10009.0</v>
      </c>
      <c r="D761" s="98" t="s">
        <v>86</v>
      </c>
      <c r="E761" s="98" t="s">
        <v>162</v>
      </c>
      <c r="F761" s="99">
        <v>0.33125</v>
      </c>
      <c r="G761" s="99">
        <v>0.7631944444444444</v>
      </c>
      <c r="H761" s="101"/>
      <c r="I761" s="92" t="str">
        <f>IFERROR(VLOOKUP(D761,'Công T5'!$C$7:$F$89,4,0),"")</f>
        <v>TV</v>
      </c>
      <c r="J761" s="92">
        <f t="shared" si="8"/>
        <v>0.33125</v>
      </c>
      <c r="K761" s="92">
        <f t="shared" si="10"/>
        <v>0.7631944444</v>
      </c>
      <c r="L761" s="92" t="str">
        <f>IFERROR(VLOOKUP(D761,'Công T5'!$C$7:$F$89,2,0),"")</f>
        <v/>
      </c>
      <c r="M761" s="92" t="str">
        <f>IFERROR(VLOOKUP(D761,'Công T5'!$C$7:$F$89,3,0),"")</f>
        <v/>
      </c>
      <c r="N761" s="92">
        <f t="shared" si="9"/>
        <v>0.3333333333</v>
      </c>
      <c r="O761" s="92">
        <f t="shared" si="2"/>
        <v>0.7083333333</v>
      </c>
      <c r="P761" s="94">
        <f t="shared" si="3"/>
        <v>0.5</v>
      </c>
      <c r="Q761" s="94">
        <f t="shared" si="4"/>
        <v>0.5</v>
      </c>
      <c r="R761" s="95">
        <f t="shared" si="5"/>
        <v>1</v>
      </c>
      <c r="S761" s="95">
        <f t="shared" si="6"/>
        <v>0</v>
      </c>
      <c r="T761" s="95">
        <f t="shared" si="7"/>
        <v>0</v>
      </c>
    </row>
    <row r="762">
      <c r="A762" s="96">
        <v>6.0</v>
      </c>
      <c r="B762" s="103">
        <v>44686.0</v>
      </c>
      <c r="C762" s="96">
        <v>10009.0</v>
      </c>
      <c r="D762" s="98" t="s">
        <v>86</v>
      </c>
      <c r="E762" s="98" t="s">
        <v>162</v>
      </c>
      <c r="F762" s="99">
        <v>0.32916666666666666</v>
      </c>
      <c r="G762" s="99">
        <v>0.75625</v>
      </c>
      <c r="H762" s="101"/>
      <c r="I762" s="92" t="str">
        <f>IFERROR(VLOOKUP(D762,'Công T5'!$C$7:$F$89,4,0),"")</f>
        <v>TV</v>
      </c>
      <c r="J762" s="92">
        <f t="shared" si="8"/>
        <v>0.3291666667</v>
      </c>
      <c r="K762" s="92">
        <f t="shared" si="10"/>
        <v>0.75625</v>
      </c>
      <c r="L762" s="92" t="str">
        <f>IFERROR(VLOOKUP(D762,'Công T5'!$C$7:$F$89,2,0),"")</f>
        <v/>
      </c>
      <c r="M762" s="92" t="str">
        <f>IFERROR(VLOOKUP(D762,'Công T5'!$C$7:$F$89,3,0),"")</f>
        <v/>
      </c>
      <c r="N762" s="92">
        <f t="shared" si="9"/>
        <v>0.3333333333</v>
      </c>
      <c r="O762" s="92">
        <f t="shared" si="2"/>
        <v>0.7083333333</v>
      </c>
      <c r="P762" s="94">
        <f t="shared" si="3"/>
        <v>0.5</v>
      </c>
      <c r="Q762" s="94">
        <f t="shared" si="4"/>
        <v>0.5</v>
      </c>
      <c r="R762" s="95">
        <f t="shared" si="5"/>
        <v>1</v>
      </c>
      <c r="S762" s="95">
        <f t="shared" si="6"/>
        <v>0</v>
      </c>
      <c r="T762" s="95">
        <f t="shared" si="7"/>
        <v>0</v>
      </c>
    </row>
    <row r="763">
      <c r="A763" s="96">
        <v>7.0</v>
      </c>
      <c r="B763" s="103">
        <v>44687.0</v>
      </c>
      <c r="C763" s="96">
        <v>10009.0</v>
      </c>
      <c r="D763" s="98" t="s">
        <v>86</v>
      </c>
      <c r="E763" s="98" t="s">
        <v>162</v>
      </c>
      <c r="F763" s="99">
        <v>0.33194444444444443</v>
      </c>
      <c r="G763" s="99">
        <v>0.7569444444444444</v>
      </c>
      <c r="H763" s="101"/>
      <c r="I763" s="92" t="str">
        <f>IFERROR(VLOOKUP(D763,'Công T5'!$C$7:$F$89,4,0),"")</f>
        <v>TV</v>
      </c>
      <c r="J763" s="92">
        <f t="shared" si="8"/>
        <v>0.3319444444</v>
      </c>
      <c r="K763" s="92">
        <f t="shared" si="10"/>
        <v>0.7569444444</v>
      </c>
      <c r="L763" s="92" t="str">
        <f>IFERROR(VLOOKUP(D763,'Công T5'!$C$7:$F$89,2,0),"")</f>
        <v/>
      </c>
      <c r="M763" s="92" t="str">
        <f>IFERROR(VLOOKUP(D763,'Công T5'!$C$7:$F$89,3,0),"")</f>
        <v/>
      </c>
      <c r="N763" s="92">
        <f t="shared" si="9"/>
        <v>0.3333333333</v>
      </c>
      <c r="O763" s="92">
        <f t="shared" si="2"/>
        <v>0.7083333333</v>
      </c>
      <c r="P763" s="94">
        <f t="shared" si="3"/>
        <v>0.5</v>
      </c>
      <c r="Q763" s="94">
        <f t="shared" si="4"/>
        <v>0.5</v>
      </c>
      <c r="R763" s="95">
        <f t="shared" si="5"/>
        <v>1</v>
      </c>
      <c r="S763" s="95">
        <f t="shared" si="6"/>
        <v>0</v>
      </c>
      <c r="T763" s="95">
        <f t="shared" si="7"/>
        <v>0</v>
      </c>
    </row>
    <row r="764">
      <c r="A764" s="96">
        <v>8.0</v>
      </c>
      <c r="B764" s="103">
        <v>44688.0</v>
      </c>
      <c r="C764" s="96">
        <v>10009.0</v>
      </c>
      <c r="D764" s="98" t="s">
        <v>86</v>
      </c>
      <c r="E764" s="98" t="s">
        <v>162</v>
      </c>
      <c r="F764" s="99">
        <v>0.33194444444444443</v>
      </c>
      <c r="G764" s="99">
        <v>0.7263888888888889</v>
      </c>
      <c r="H764" s="101"/>
      <c r="I764" s="92" t="str">
        <f>IFERROR(VLOOKUP(D764,'Công T5'!$C$7:$F$89,4,0),"")</f>
        <v>TV</v>
      </c>
      <c r="J764" s="92">
        <f t="shared" si="8"/>
        <v>0.3319444444</v>
      </c>
      <c r="K764" s="92">
        <f t="shared" si="10"/>
        <v>0.7263888889</v>
      </c>
      <c r="L764" s="92" t="str">
        <f>IFERROR(VLOOKUP(D764,'Công T5'!$C$7:$F$89,2,0),"")</f>
        <v/>
      </c>
      <c r="M764" s="92" t="str">
        <f>IFERROR(VLOOKUP(D764,'Công T5'!$C$7:$F$89,3,0),"")</f>
        <v/>
      </c>
      <c r="N764" s="92">
        <f t="shared" si="9"/>
        <v>0.3333333333</v>
      </c>
      <c r="O764" s="92">
        <f t="shared" si="2"/>
        <v>0.7083333333</v>
      </c>
      <c r="P764" s="94">
        <f t="shared" si="3"/>
        <v>0.5</v>
      </c>
      <c r="Q764" s="94">
        <f t="shared" si="4"/>
        <v>0.5</v>
      </c>
      <c r="R764" s="95">
        <f t="shared" si="5"/>
        <v>1</v>
      </c>
      <c r="S764" s="95">
        <f t="shared" si="6"/>
        <v>0</v>
      </c>
      <c r="T764" s="95">
        <f t="shared" si="7"/>
        <v>0</v>
      </c>
    </row>
    <row r="765">
      <c r="A765" s="96">
        <v>9.0</v>
      </c>
      <c r="B765" s="103">
        <v>44690.0</v>
      </c>
      <c r="C765" s="96">
        <v>10009.0</v>
      </c>
      <c r="D765" s="98" t="s">
        <v>86</v>
      </c>
      <c r="E765" s="98" t="s">
        <v>162</v>
      </c>
      <c r="F765" s="99">
        <v>0.325</v>
      </c>
      <c r="G765" s="99">
        <v>0.7395833333333334</v>
      </c>
      <c r="H765" s="101"/>
      <c r="I765" s="92" t="str">
        <f>IFERROR(VLOOKUP(D765,'Công T5'!$C$7:$F$89,4,0),"")</f>
        <v>TV</v>
      </c>
      <c r="J765" s="92">
        <f t="shared" si="8"/>
        <v>0.325</v>
      </c>
      <c r="K765" s="92">
        <f t="shared" si="10"/>
        <v>0.7395833333</v>
      </c>
      <c r="L765" s="92" t="str">
        <f>IFERROR(VLOOKUP(D765,'Công T5'!$C$7:$F$89,2,0),"")</f>
        <v/>
      </c>
      <c r="M765" s="92" t="str">
        <f>IFERROR(VLOOKUP(D765,'Công T5'!$C$7:$F$89,3,0),"")</f>
        <v/>
      </c>
      <c r="N765" s="92">
        <f t="shared" si="9"/>
        <v>0.3333333333</v>
      </c>
      <c r="O765" s="92">
        <f t="shared" si="2"/>
        <v>0.7083333333</v>
      </c>
      <c r="P765" s="94">
        <f t="shared" si="3"/>
        <v>0.5</v>
      </c>
      <c r="Q765" s="94">
        <f t="shared" si="4"/>
        <v>0.5</v>
      </c>
      <c r="R765" s="95">
        <f t="shared" si="5"/>
        <v>1</v>
      </c>
      <c r="S765" s="95">
        <f t="shared" si="6"/>
        <v>0</v>
      </c>
      <c r="T765" s="95">
        <f t="shared" si="7"/>
        <v>0</v>
      </c>
    </row>
    <row r="766">
      <c r="A766" s="96">
        <v>10.0</v>
      </c>
      <c r="B766" s="103">
        <v>44691.0</v>
      </c>
      <c r="C766" s="96">
        <v>10009.0</v>
      </c>
      <c r="D766" s="98" t="s">
        <v>86</v>
      </c>
      <c r="E766" s="98" t="s">
        <v>162</v>
      </c>
      <c r="F766" s="99">
        <v>0.3375</v>
      </c>
      <c r="G766" s="99">
        <v>0.75625</v>
      </c>
      <c r="H766" s="101"/>
      <c r="I766" s="92" t="str">
        <f>IFERROR(VLOOKUP(D766,'Công T5'!$C$7:$F$89,4,0),"")</f>
        <v>TV</v>
      </c>
      <c r="J766" s="92">
        <f t="shared" si="8"/>
        <v>0.3375</v>
      </c>
      <c r="K766" s="92">
        <f t="shared" si="10"/>
        <v>0.75625</v>
      </c>
      <c r="L766" s="92" t="str">
        <f>IFERROR(VLOOKUP(D766,'Công T5'!$C$7:$F$89,2,0),"")</f>
        <v/>
      </c>
      <c r="M766" s="92" t="str">
        <f>IFERROR(VLOOKUP(D766,'Công T5'!$C$7:$F$89,3,0),"")</f>
        <v/>
      </c>
      <c r="N766" s="92">
        <f t="shared" si="9"/>
        <v>0.3333333333</v>
      </c>
      <c r="O766" s="92">
        <f t="shared" si="2"/>
        <v>0.7083333333</v>
      </c>
      <c r="P766" s="94">
        <f t="shared" si="3"/>
        <v>0.5</v>
      </c>
      <c r="Q766" s="94">
        <f t="shared" si="4"/>
        <v>0.5</v>
      </c>
      <c r="R766" s="95">
        <f t="shared" si="5"/>
        <v>1</v>
      </c>
      <c r="S766" s="95">
        <f t="shared" si="6"/>
        <v>1</v>
      </c>
      <c r="T766" s="95">
        <f t="shared" si="7"/>
        <v>0</v>
      </c>
    </row>
    <row r="767">
      <c r="A767" s="96">
        <v>11.0</v>
      </c>
      <c r="B767" s="103">
        <v>44692.0</v>
      </c>
      <c r="C767" s="96">
        <v>10009.0</v>
      </c>
      <c r="D767" s="98" t="s">
        <v>86</v>
      </c>
      <c r="E767" s="98" t="s">
        <v>162</v>
      </c>
      <c r="F767" s="99">
        <v>0.3326388888888889</v>
      </c>
      <c r="G767" s="99">
        <v>0.7486111111111111</v>
      </c>
      <c r="H767" s="101"/>
      <c r="I767" s="92" t="str">
        <f>IFERROR(VLOOKUP(D767,'Công T5'!$C$7:$F$89,4,0),"")</f>
        <v>TV</v>
      </c>
      <c r="J767" s="92">
        <f t="shared" si="8"/>
        <v>0.3326388889</v>
      </c>
      <c r="K767" s="92">
        <f t="shared" si="10"/>
        <v>0.7486111111</v>
      </c>
      <c r="L767" s="92" t="str">
        <f>IFERROR(VLOOKUP(D767,'Công T5'!$C$7:$F$89,2,0),"")</f>
        <v/>
      </c>
      <c r="M767" s="92" t="str">
        <f>IFERROR(VLOOKUP(D767,'Công T5'!$C$7:$F$89,3,0),"")</f>
        <v/>
      </c>
      <c r="N767" s="92">
        <f t="shared" si="9"/>
        <v>0.3333333333</v>
      </c>
      <c r="O767" s="92">
        <f t="shared" si="2"/>
        <v>0.7083333333</v>
      </c>
      <c r="P767" s="94">
        <f t="shared" si="3"/>
        <v>0.5</v>
      </c>
      <c r="Q767" s="94">
        <f t="shared" si="4"/>
        <v>0.5</v>
      </c>
      <c r="R767" s="95">
        <f t="shared" si="5"/>
        <v>1</v>
      </c>
      <c r="S767" s="95">
        <f t="shared" si="6"/>
        <v>0</v>
      </c>
      <c r="T767" s="95">
        <f t="shared" si="7"/>
        <v>0</v>
      </c>
    </row>
    <row r="768">
      <c r="A768" s="96">
        <v>12.0</v>
      </c>
      <c r="B768" s="103">
        <v>44693.0</v>
      </c>
      <c r="C768" s="96">
        <v>10009.0</v>
      </c>
      <c r="D768" s="98" t="s">
        <v>86</v>
      </c>
      <c r="E768" s="98" t="s">
        <v>162</v>
      </c>
      <c r="F768" s="99">
        <v>0.33402777777777776</v>
      </c>
      <c r="G768" s="99">
        <v>0.7368055555555556</v>
      </c>
      <c r="H768" s="101"/>
      <c r="I768" s="92" t="str">
        <f>IFERROR(VLOOKUP(D768,'Công T5'!$C$7:$F$89,4,0),"")</f>
        <v>TV</v>
      </c>
      <c r="J768" s="92">
        <f t="shared" si="8"/>
        <v>0.3340277778</v>
      </c>
      <c r="K768" s="92">
        <f t="shared" si="10"/>
        <v>0.7368055556</v>
      </c>
      <c r="L768" s="92" t="str">
        <f>IFERROR(VLOOKUP(D768,'Công T5'!$C$7:$F$89,2,0),"")</f>
        <v/>
      </c>
      <c r="M768" s="92" t="str">
        <f>IFERROR(VLOOKUP(D768,'Công T5'!$C$7:$F$89,3,0),"")</f>
        <v/>
      </c>
      <c r="N768" s="92">
        <f t="shared" si="9"/>
        <v>0.3333333333</v>
      </c>
      <c r="O768" s="92">
        <f t="shared" si="2"/>
        <v>0.7083333333</v>
      </c>
      <c r="P768" s="94">
        <f t="shared" si="3"/>
        <v>0.5</v>
      </c>
      <c r="Q768" s="94">
        <f t="shared" si="4"/>
        <v>0.5</v>
      </c>
      <c r="R768" s="95">
        <f t="shared" si="5"/>
        <v>1</v>
      </c>
      <c r="S768" s="95">
        <f t="shared" si="6"/>
        <v>1</v>
      </c>
      <c r="T768" s="95">
        <f t="shared" si="7"/>
        <v>0</v>
      </c>
    </row>
    <row r="769">
      <c r="A769" s="96">
        <v>13.0</v>
      </c>
      <c r="B769" s="103">
        <v>44694.0</v>
      </c>
      <c r="C769" s="96">
        <v>10009.0</v>
      </c>
      <c r="D769" s="98" t="s">
        <v>86</v>
      </c>
      <c r="E769" s="98" t="s">
        <v>162</v>
      </c>
      <c r="F769" s="99">
        <v>0.3215277777777778</v>
      </c>
      <c r="G769" s="99">
        <v>0.7375</v>
      </c>
      <c r="H769" s="101"/>
      <c r="I769" s="92" t="str">
        <f>IFERROR(VLOOKUP(D769,'Công T5'!$C$7:$F$89,4,0),"")</f>
        <v>TV</v>
      </c>
      <c r="J769" s="92">
        <f t="shared" si="8"/>
        <v>0.3215277778</v>
      </c>
      <c r="K769" s="92">
        <f t="shared" si="10"/>
        <v>0.7375</v>
      </c>
      <c r="L769" s="92" t="str">
        <f>IFERROR(VLOOKUP(D769,'Công T5'!$C$7:$F$89,2,0),"")</f>
        <v/>
      </c>
      <c r="M769" s="92" t="str">
        <f>IFERROR(VLOOKUP(D769,'Công T5'!$C$7:$F$89,3,0),"")</f>
        <v/>
      </c>
      <c r="N769" s="92">
        <f t="shared" si="9"/>
        <v>0.3333333333</v>
      </c>
      <c r="O769" s="92">
        <f t="shared" si="2"/>
        <v>0.7083333333</v>
      </c>
      <c r="P769" s="94">
        <f t="shared" si="3"/>
        <v>0.5</v>
      </c>
      <c r="Q769" s="94">
        <f t="shared" si="4"/>
        <v>0.5</v>
      </c>
      <c r="R769" s="95">
        <f t="shared" si="5"/>
        <v>1</v>
      </c>
      <c r="S769" s="95">
        <f t="shared" si="6"/>
        <v>0</v>
      </c>
      <c r="T769" s="95">
        <f t="shared" si="7"/>
        <v>0</v>
      </c>
    </row>
    <row r="770">
      <c r="A770" s="96">
        <v>14.0</v>
      </c>
      <c r="B770" s="103">
        <v>44697.0</v>
      </c>
      <c r="C770" s="96">
        <v>10009.0</v>
      </c>
      <c r="D770" s="98" t="s">
        <v>86</v>
      </c>
      <c r="E770" s="98" t="s">
        <v>162</v>
      </c>
      <c r="F770" s="99">
        <v>0.3416666666666667</v>
      </c>
      <c r="G770" s="99">
        <v>0.7597222222222222</v>
      </c>
      <c r="H770" s="101"/>
      <c r="I770" s="92" t="str">
        <f>IFERROR(VLOOKUP(D770,'Công T5'!$C$7:$F$89,4,0),"")</f>
        <v>TV</v>
      </c>
      <c r="J770" s="92">
        <f t="shared" si="8"/>
        <v>0.3416666667</v>
      </c>
      <c r="K770" s="92">
        <f t="shared" si="10"/>
        <v>0.7597222222</v>
      </c>
      <c r="L770" s="92" t="str">
        <f>IFERROR(VLOOKUP(D770,'Công T5'!$C$7:$F$89,2,0),"")</f>
        <v/>
      </c>
      <c r="M770" s="92" t="str">
        <f>IFERROR(VLOOKUP(D770,'Công T5'!$C$7:$F$89,3,0),"")</f>
        <v/>
      </c>
      <c r="N770" s="92">
        <f t="shared" si="9"/>
        <v>0.3333333333</v>
      </c>
      <c r="O770" s="92">
        <f t="shared" si="2"/>
        <v>0.7083333333</v>
      </c>
      <c r="P770" s="94">
        <f t="shared" si="3"/>
        <v>0.5</v>
      </c>
      <c r="Q770" s="94">
        <f t="shared" si="4"/>
        <v>0.5</v>
      </c>
      <c r="R770" s="95">
        <f t="shared" si="5"/>
        <v>1</v>
      </c>
      <c r="S770" s="95">
        <f t="shared" si="6"/>
        <v>1</v>
      </c>
      <c r="T770" s="95">
        <f t="shared" si="7"/>
        <v>0</v>
      </c>
    </row>
    <row r="771">
      <c r="A771" s="96">
        <v>15.0</v>
      </c>
      <c r="B771" s="103">
        <v>44698.0</v>
      </c>
      <c r="C771" s="96">
        <v>10009.0</v>
      </c>
      <c r="D771" s="98" t="s">
        <v>86</v>
      </c>
      <c r="E771" s="98" t="s">
        <v>162</v>
      </c>
      <c r="F771" s="99">
        <v>0.325</v>
      </c>
      <c r="G771" s="99">
        <v>0.7652777777777777</v>
      </c>
      <c r="H771" s="101"/>
      <c r="I771" s="92" t="str">
        <f>IFERROR(VLOOKUP(D771,'Công T5'!$C$7:$F$89,4,0),"")</f>
        <v>TV</v>
      </c>
      <c r="J771" s="92">
        <f t="shared" si="8"/>
        <v>0.325</v>
      </c>
      <c r="K771" s="92">
        <f t="shared" si="10"/>
        <v>0.7652777778</v>
      </c>
      <c r="L771" s="92" t="str">
        <f>IFERROR(VLOOKUP(D771,'Công T5'!$C$7:$F$89,2,0),"")</f>
        <v/>
      </c>
      <c r="M771" s="92" t="str">
        <f>IFERROR(VLOOKUP(D771,'Công T5'!$C$7:$F$89,3,0),"")</f>
        <v/>
      </c>
      <c r="N771" s="92">
        <f t="shared" si="9"/>
        <v>0.3333333333</v>
      </c>
      <c r="O771" s="92">
        <f t="shared" si="2"/>
        <v>0.7083333333</v>
      </c>
      <c r="P771" s="94">
        <f t="shared" si="3"/>
        <v>0.5</v>
      </c>
      <c r="Q771" s="94">
        <f t="shared" si="4"/>
        <v>0.5</v>
      </c>
      <c r="R771" s="95">
        <f t="shared" si="5"/>
        <v>1</v>
      </c>
      <c r="S771" s="95">
        <f t="shared" si="6"/>
        <v>0</v>
      </c>
      <c r="T771" s="95">
        <f t="shared" si="7"/>
        <v>0</v>
      </c>
    </row>
    <row r="772">
      <c r="A772" s="96">
        <v>16.0</v>
      </c>
      <c r="B772" s="103">
        <v>44699.0</v>
      </c>
      <c r="C772" s="96">
        <v>10009.0</v>
      </c>
      <c r="D772" s="98" t="s">
        <v>86</v>
      </c>
      <c r="E772" s="98" t="s">
        <v>162</v>
      </c>
      <c r="F772" s="99">
        <v>0.3298611111111111</v>
      </c>
      <c r="G772" s="99">
        <v>0.7486111111111111</v>
      </c>
      <c r="H772" s="101"/>
      <c r="I772" s="92" t="str">
        <f>IFERROR(VLOOKUP(D772,'Công T5'!$C$7:$F$89,4,0),"")</f>
        <v>TV</v>
      </c>
      <c r="J772" s="92">
        <f t="shared" si="8"/>
        <v>0.3298611111</v>
      </c>
      <c r="K772" s="92">
        <f t="shared" si="10"/>
        <v>0.7486111111</v>
      </c>
      <c r="L772" s="92" t="str">
        <f>IFERROR(VLOOKUP(D772,'Công T5'!$C$7:$F$89,2,0),"")</f>
        <v/>
      </c>
      <c r="M772" s="92" t="str">
        <f>IFERROR(VLOOKUP(D772,'Công T5'!$C$7:$F$89,3,0),"")</f>
        <v/>
      </c>
      <c r="N772" s="92">
        <f t="shared" si="9"/>
        <v>0.3333333333</v>
      </c>
      <c r="O772" s="92">
        <f t="shared" si="2"/>
        <v>0.7083333333</v>
      </c>
      <c r="P772" s="94">
        <f t="shared" si="3"/>
        <v>0.5</v>
      </c>
      <c r="Q772" s="94">
        <f t="shared" si="4"/>
        <v>0.5</v>
      </c>
      <c r="R772" s="95">
        <f t="shared" si="5"/>
        <v>1</v>
      </c>
      <c r="S772" s="95">
        <f t="shared" si="6"/>
        <v>0</v>
      </c>
      <c r="T772" s="95">
        <f t="shared" si="7"/>
        <v>0</v>
      </c>
    </row>
    <row r="773">
      <c r="A773" s="96">
        <v>17.0</v>
      </c>
      <c r="B773" s="103">
        <v>44700.0</v>
      </c>
      <c r="C773" s="96">
        <v>10009.0</v>
      </c>
      <c r="D773" s="98" t="s">
        <v>86</v>
      </c>
      <c r="E773" s="98" t="s">
        <v>162</v>
      </c>
      <c r="F773" s="99">
        <v>0.32430555555555557</v>
      </c>
      <c r="G773" s="99">
        <v>0.7590277777777777</v>
      </c>
      <c r="H773" s="101"/>
      <c r="I773" s="92" t="str">
        <f>IFERROR(VLOOKUP(D773,'Công T5'!$C$7:$F$89,4,0),"")</f>
        <v>TV</v>
      </c>
      <c r="J773" s="92">
        <f t="shared" si="8"/>
        <v>0.3243055556</v>
      </c>
      <c r="K773" s="92">
        <f t="shared" si="10"/>
        <v>0.7590277778</v>
      </c>
      <c r="L773" s="92" t="str">
        <f>IFERROR(VLOOKUP(D773,'Công T5'!$C$7:$F$89,2,0),"")</f>
        <v/>
      </c>
      <c r="M773" s="92" t="str">
        <f>IFERROR(VLOOKUP(D773,'Công T5'!$C$7:$F$89,3,0),"")</f>
        <v/>
      </c>
      <c r="N773" s="92">
        <f t="shared" si="9"/>
        <v>0.3333333333</v>
      </c>
      <c r="O773" s="92">
        <f t="shared" si="2"/>
        <v>0.7083333333</v>
      </c>
      <c r="P773" s="94">
        <f t="shared" si="3"/>
        <v>0.5</v>
      </c>
      <c r="Q773" s="94">
        <f t="shared" si="4"/>
        <v>0.5</v>
      </c>
      <c r="R773" s="95">
        <f t="shared" si="5"/>
        <v>1</v>
      </c>
      <c r="S773" s="95">
        <f t="shared" si="6"/>
        <v>0</v>
      </c>
      <c r="T773" s="95">
        <f t="shared" si="7"/>
        <v>0</v>
      </c>
    </row>
    <row r="774">
      <c r="A774" s="96">
        <v>18.0</v>
      </c>
      <c r="B774" s="103">
        <v>44701.0</v>
      </c>
      <c r="C774" s="96">
        <v>10009.0</v>
      </c>
      <c r="D774" s="98" t="s">
        <v>86</v>
      </c>
      <c r="E774" s="98" t="s">
        <v>162</v>
      </c>
      <c r="F774" s="99">
        <v>0.33819444444444446</v>
      </c>
      <c r="G774" s="99">
        <v>0.75625</v>
      </c>
      <c r="H774" s="101"/>
      <c r="I774" s="92" t="str">
        <f>IFERROR(VLOOKUP(D774,'Công T5'!$C$7:$F$89,4,0),"")</f>
        <v>TV</v>
      </c>
      <c r="J774" s="92">
        <f t="shared" si="8"/>
        <v>0.3381944444</v>
      </c>
      <c r="K774" s="92">
        <f t="shared" si="10"/>
        <v>0.75625</v>
      </c>
      <c r="L774" s="92" t="str">
        <f>IFERROR(VLOOKUP(D774,'Công T5'!$C$7:$F$89,2,0),"")</f>
        <v/>
      </c>
      <c r="M774" s="92" t="str">
        <f>IFERROR(VLOOKUP(D774,'Công T5'!$C$7:$F$89,3,0),"")</f>
        <v/>
      </c>
      <c r="N774" s="92">
        <f t="shared" si="9"/>
        <v>0.3333333333</v>
      </c>
      <c r="O774" s="92">
        <f t="shared" si="2"/>
        <v>0.7083333333</v>
      </c>
      <c r="P774" s="94">
        <f t="shared" si="3"/>
        <v>0.5</v>
      </c>
      <c r="Q774" s="94">
        <f t="shared" si="4"/>
        <v>0.5</v>
      </c>
      <c r="R774" s="95">
        <f t="shared" si="5"/>
        <v>1</v>
      </c>
      <c r="S774" s="95">
        <f t="shared" si="6"/>
        <v>1</v>
      </c>
      <c r="T774" s="95">
        <f t="shared" si="7"/>
        <v>0</v>
      </c>
    </row>
    <row r="775">
      <c r="A775" s="96">
        <v>19.0</v>
      </c>
      <c r="B775" s="103">
        <v>44702.0</v>
      </c>
      <c r="C775" s="96">
        <v>10009.0</v>
      </c>
      <c r="D775" s="98" t="s">
        <v>86</v>
      </c>
      <c r="E775" s="98" t="s">
        <v>162</v>
      </c>
      <c r="F775" s="99">
        <v>0.33194444444444443</v>
      </c>
      <c r="G775" s="99">
        <v>0.7215277777777778</v>
      </c>
      <c r="H775" s="101"/>
      <c r="I775" s="92" t="str">
        <f>IFERROR(VLOOKUP(D775,'Công T5'!$C$7:$F$89,4,0),"")</f>
        <v>TV</v>
      </c>
      <c r="J775" s="92">
        <f t="shared" si="8"/>
        <v>0.3319444444</v>
      </c>
      <c r="K775" s="92">
        <f t="shared" si="10"/>
        <v>0.7215277778</v>
      </c>
      <c r="L775" s="92" t="str">
        <f>IFERROR(VLOOKUP(D775,'Công T5'!$C$7:$F$89,2,0),"")</f>
        <v/>
      </c>
      <c r="M775" s="92" t="str">
        <f>IFERROR(VLOOKUP(D775,'Công T5'!$C$7:$F$89,3,0),"")</f>
        <v/>
      </c>
      <c r="N775" s="92">
        <f t="shared" si="9"/>
        <v>0.3333333333</v>
      </c>
      <c r="O775" s="92">
        <f t="shared" si="2"/>
        <v>0.7083333333</v>
      </c>
      <c r="P775" s="94">
        <f t="shared" si="3"/>
        <v>0.5</v>
      </c>
      <c r="Q775" s="94">
        <f t="shared" si="4"/>
        <v>0.5</v>
      </c>
      <c r="R775" s="95">
        <f t="shared" si="5"/>
        <v>1</v>
      </c>
      <c r="S775" s="95">
        <f t="shared" si="6"/>
        <v>0</v>
      </c>
      <c r="T775" s="95">
        <f t="shared" si="7"/>
        <v>0</v>
      </c>
    </row>
    <row r="776">
      <c r="A776" s="96">
        <v>20.0</v>
      </c>
      <c r="B776" s="103">
        <v>44704.0</v>
      </c>
      <c r="C776" s="96">
        <v>10009.0</v>
      </c>
      <c r="D776" s="98" t="s">
        <v>86</v>
      </c>
      <c r="E776" s="98" t="s">
        <v>162</v>
      </c>
      <c r="F776" s="99">
        <v>0.33611111111111114</v>
      </c>
      <c r="G776" s="99">
        <v>0.7444444444444445</v>
      </c>
      <c r="H776" s="101"/>
      <c r="I776" s="92" t="str">
        <f>IFERROR(VLOOKUP(D776,'Công T5'!$C$7:$F$89,4,0),"")</f>
        <v>TV</v>
      </c>
      <c r="J776" s="92">
        <f t="shared" si="8"/>
        <v>0.3361111111</v>
      </c>
      <c r="K776" s="92">
        <f t="shared" si="10"/>
        <v>0.7444444444</v>
      </c>
      <c r="L776" s="92" t="str">
        <f>IFERROR(VLOOKUP(D776,'Công T5'!$C$7:$F$89,2,0),"")</f>
        <v/>
      </c>
      <c r="M776" s="92" t="str">
        <f>IFERROR(VLOOKUP(D776,'Công T5'!$C$7:$F$89,3,0),"")</f>
        <v/>
      </c>
      <c r="N776" s="92">
        <f t="shared" si="9"/>
        <v>0.3333333333</v>
      </c>
      <c r="O776" s="92">
        <f t="shared" si="2"/>
        <v>0.7083333333</v>
      </c>
      <c r="P776" s="94">
        <f t="shared" si="3"/>
        <v>0.5</v>
      </c>
      <c r="Q776" s="94">
        <f t="shared" si="4"/>
        <v>0.5</v>
      </c>
      <c r="R776" s="95">
        <f t="shared" si="5"/>
        <v>1</v>
      </c>
      <c r="S776" s="95">
        <f t="shared" si="6"/>
        <v>1</v>
      </c>
      <c r="T776" s="95">
        <f t="shared" si="7"/>
        <v>0</v>
      </c>
    </row>
    <row r="777">
      <c r="A777" s="96">
        <v>21.0</v>
      </c>
      <c r="B777" s="103">
        <v>44705.0</v>
      </c>
      <c r="C777" s="96">
        <v>10009.0</v>
      </c>
      <c r="D777" s="98" t="s">
        <v>86</v>
      </c>
      <c r="E777" s="98" t="s">
        <v>162</v>
      </c>
      <c r="F777" s="99">
        <v>0.33055555555555555</v>
      </c>
      <c r="G777" s="99">
        <v>0.7340277777777777</v>
      </c>
      <c r="H777" s="101"/>
      <c r="I777" s="92" t="str">
        <f>IFERROR(VLOOKUP(D777,'Công T5'!$C$7:$F$89,4,0),"")</f>
        <v>TV</v>
      </c>
      <c r="J777" s="92">
        <f t="shared" si="8"/>
        <v>0.3305555556</v>
      </c>
      <c r="K777" s="92">
        <f t="shared" si="10"/>
        <v>0.7340277778</v>
      </c>
      <c r="L777" s="92" t="str">
        <f>IFERROR(VLOOKUP(D777,'Công T5'!$C$7:$F$89,2,0),"")</f>
        <v/>
      </c>
      <c r="M777" s="92" t="str">
        <f>IFERROR(VLOOKUP(D777,'Công T5'!$C$7:$F$89,3,0),"")</f>
        <v/>
      </c>
      <c r="N777" s="92">
        <f t="shared" si="9"/>
        <v>0.3333333333</v>
      </c>
      <c r="O777" s="92">
        <f t="shared" si="2"/>
        <v>0.7083333333</v>
      </c>
      <c r="P777" s="94">
        <f t="shared" si="3"/>
        <v>0.5</v>
      </c>
      <c r="Q777" s="94">
        <f t="shared" si="4"/>
        <v>0.5</v>
      </c>
      <c r="R777" s="95">
        <f t="shared" si="5"/>
        <v>1</v>
      </c>
      <c r="S777" s="95">
        <f t="shared" si="6"/>
        <v>0</v>
      </c>
      <c r="T777" s="95">
        <f t="shared" si="7"/>
        <v>0</v>
      </c>
    </row>
    <row r="778">
      <c r="A778" s="96">
        <v>22.0</v>
      </c>
      <c r="B778" s="103">
        <v>44706.0</v>
      </c>
      <c r="C778" s="96">
        <v>10009.0</v>
      </c>
      <c r="D778" s="98" t="s">
        <v>86</v>
      </c>
      <c r="E778" s="98" t="s">
        <v>162</v>
      </c>
      <c r="F778" s="99">
        <v>0.3298611111111111</v>
      </c>
      <c r="G778" s="99">
        <v>0.7006944444444444</v>
      </c>
      <c r="H778" s="101"/>
      <c r="I778" s="92" t="str">
        <f>IFERROR(VLOOKUP(D778,'Công T5'!$C$7:$F$89,4,0),"")</f>
        <v>TV</v>
      </c>
      <c r="J778" s="92">
        <f t="shared" si="8"/>
        <v>0.3298611111</v>
      </c>
      <c r="K778" s="92">
        <f t="shared" si="10"/>
        <v>0.7006944444</v>
      </c>
      <c r="L778" s="92" t="str">
        <f>IFERROR(VLOOKUP(D778,'Công T5'!$C$7:$F$89,2,0),"")</f>
        <v/>
      </c>
      <c r="M778" s="92" t="str">
        <f>IFERROR(VLOOKUP(D778,'Công T5'!$C$7:$F$89,3,0),"")</f>
        <v/>
      </c>
      <c r="N778" s="92">
        <f t="shared" si="9"/>
        <v>0.3333333333</v>
      </c>
      <c r="O778" s="92">
        <f t="shared" si="2"/>
        <v>0.7006944444</v>
      </c>
      <c r="P778" s="94">
        <f t="shared" si="3"/>
        <v>0.5</v>
      </c>
      <c r="Q778" s="94">
        <f t="shared" si="4"/>
        <v>0.4770833333</v>
      </c>
      <c r="R778" s="95">
        <f t="shared" si="5"/>
        <v>0.9770833333</v>
      </c>
      <c r="S778" s="95">
        <f t="shared" si="6"/>
        <v>0</v>
      </c>
      <c r="T778" s="95">
        <f t="shared" si="7"/>
        <v>0</v>
      </c>
    </row>
    <row r="779">
      <c r="A779" s="96">
        <v>23.0</v>
      </c>
      <c r="B779" s="103">
        <v>44677.0</v>
      </c>
      <c r="C779" s="96">
        <v>10025.0</v>
      </c>
      <c r="D779" s="98" t="s">
        <v>89</v>
      </c>
      <c r="E779" s="98" t="s">
        <v>159</v>
      </c>
      <c r="F779" s="99">
        <v>0.4618055555555556</v>
      </c>
      <c r="G779" s="99">
        <v>0.6847222222222222</v>
      </c>
      <c r="H779" s="101"/>
      <c r="I779" s="92" t="str">
        <f>IFERROR(VLOOKUP(D779,'Công T5'!$C$7:$F$89,4,0),"")</f>
        <v>TV</v>
      </c>
      <c r="J779" s="92">
        <f t="shared" si="8"/>
        <v>0.4618055556</v>
      </c>
      <c r="K779" s="92">
        <f t="shared" si="10"/>
        <v>0.6847222222</v>
      </c>
      <c r="L779" s="92" t="str">
        <f>IFERROR(VLOOKUP(D779,'Công T5'!$C$7:$F$89,2,0),"")</f>
        <v/>
      </c>
      <c r="M779" s="92">
        <f>IFERROR(VLOOKUP(D779,'Công T5'!$C$7:$F$89,3,0),"")</f>
        <v>0.6666666667</v>
      </c>
      <c r="N779" s="92">
        <f t="shared" si="9"/>
        <v>0.4618055556</v>
      </c>
      <c r="O779" s="92">
        <f t="shared" si="2"/>
        <v>0.6847222222</v>
      </c>
      <c r="P779" s="94">
        <f t="shared" si="3"/>
        <v>0.1145833333</v>
      </c>
      <c r="Q779" s="94">
        <f t="shared" si="4"/>
        <v>0.5</v>
      </c>
      <c r="R779" s="95">
        <f t="shared" si="5"/>
        <v>0.6145833333</v>
      </c>
      <c r="S779" s="95">
        <f t="shared" si="6"/>
        <v>1</v>
      </c>
      <c r="T779" s="95">
        <f t="shared" si="7"/>
        <v>0</v>
      </c>
    </row>
    <row r="780">
      <c r="A780" s="96">
        <v>24.0</v>
      </c>
      <c r="B780" s="103">
        <v>44678.0</v>
      </c>
      <c r="C780" s="96">
        <v>10025.0</v>
      </c>
      <c r="D780" s="98" t="s">
        <v>89</v>
      </c>
      <c r="E780" s="98" t="s">
        <v>159</v>
      </c>
      <c r="F780" s="99">
        <v>0.3298611111111111</v>
      </c>
      <c r="G780" s="99">
        <v>0.6743055555555556</v>
      </c>
      <c r="H780" s="101"/>
      <c r="I780" s="92" t="str">
        <f>IFERROR(VLOOKUP(D780,'Công T5'!$C$7:$F$89,4,0),"")</f>
        <v>TV</v>
      </c>
      <c r="J780" s="92">
        <f t="shared" si="8"/>
        <v>0.3298611111</v>
      </c>
      <c r="K780" s="92">
        <f t="shared" si="10"/>
        <v>0.6743055556</v>
      </c>
      <c r="L780" s="92" t="str">
        <f>IFERROR(VLOOKUP(D780,'Công T5'!$C$7:$F$89,2,0),"")</f>
        <v/>
      </c>
      <c r="M780" s="92">
        <f>IFERROR(VLOOKUP(D780,'Công T5'!$C$7:$F$89,3,0),"")</f>
        <v>0.6666666667</v>
      </c>
      <c r="N780" s="92">
        <f t="shared" si="9"/>
        <v>0.3333333333</v>
      </c>
      <c r="O780" s="92">
        <f t="shared" si="2"/>
        <v>0.6743055556</v>
      </c>
      <c r="P780" s="94">
        <f t="shared" si="3"/>
        <v>0.5</v>
      </c>
      <c r="Q780" s="94">
        <f t="shared" si="4"/>
        <v>0.5</v>
      </c>
      <c r="R780" s="95">
        <f t="shared" si="5"/>
        <v>1</v>
      </c>
      <c r="S780" s="95">
        <f t="shared" si="6"/>
        <v>0</v>
      </c>
      <c r="T780" s="95">
        <f t="shared" si="7"/>
        <v>0</v>
      </c>
    </row>
    <row r="781">
      <c r="A781" s="96">
        <v>25.0</v>
      </c>
      <c r="B781" s="103">
        <v>44679.0</v>
      </c>
      <c r="C781" s="96">
        <v>10025.0</v>
      </c>
      <c r="D781" s="98" t="s">
        <v>89</v>
      </c>
      <c r="E781" s="98" t="s">
        <v>159</v>
      </c>
      <c r="F781" s="99">
        <v>0.33055555555555555</v>
      </c>
      <c r="G781" s="99">
        <v>0.6798611111111111</v>
      </c>
      <c r="H781" s="101"/>
      <c r="I781" s="92" t="str">
        <f>IFERROR(VLOOKUP(D781,'Công T5'!$C$7:$F$89,4,0),"")</f>
        <v>TV</v>
      </c>
      <c r="J781" s="92">
        <f t="shared" si="8"/>
        <v>0.3305555556</v>
      </c>
      <c r="K781" s="92">
        <f t="shared" si="10"/>
        <v>0.6798611111</v>
      </c>
      <c r="L781" s="92" t="str">
        <f>IFERROR(VLOOKUP(D781,'Công T5'!$C$7:$F$89,2,0),"")</f>
        <v/>
      </c>
      <c r="M781" s="92">
        <f>IFERROR(VLOOKUP(D781,'Công T5'!$C$7:$F$89,3,0),"")</f>
        <v>0.6666666667</v>
      </c>
      <c r="N781" s="92">
        <f t="shared" si="9"/>
        <v>0.3333333333</v>
      </c>
      <c r="O781" s="92">
        <f t="shared" si="2"/>
        <v>0.6798611111</v>
      </c>
      <c r="P781" s="94">
        <f t="shared" si="3"/>
        <v>0.5</v>
      </c>
      <c r="Q781" s="94">
        <f t="shared" si="4"/>
        <v>0.5</v>
      </c>
      <c r="R781" s="95">
        <f t="shared" si="5"/>
        <v>1</v>
      </c>
      <c r="S781" s="95">
        <f t="shared" si="6"/>
        <v>0</v>
      </c>
      <c r="T781" s="95">
        <f t="shared" si="7"/>
        <v>0</v>
      </c>
    </row>
    <row r="782">
      <c r="A782" s="96">
        <v>26.0</v>
      </c>
      <c r="B782" s="103">
        <v>44680.0</v>
      </c>
      <c r="C782" s="96">
        <v>10025.0</v>
      </c>
      <c r="D782" s="98" t="s">
        <v>89</v>
      </c>
      <c r="E782" s="98" t="s">
        <v>159</v>
      </c>
      <c r="F782" s="99">
        <v>0.3326388888888889</v>
      </c>
      <c r="G782" s="99">
        <v>0.6729166666666667</v>
      </c>
      <c r="H782" s="101"/>
      <c r="I782" s="92" t="str">
        <f>IFERROR(VLOOKUP(D782,'Công T5'!$C$7:$F$89,4,0),"")</f>
        <v>TV</v>
      </c>
      <c r="J782" s="92">
        <f t="shared" si="8"/>
        <v>0.3326388889</v>
      </c>
      <c r="K782" s="92">
        <f t="shared" si="10"/>
        <v>0.6729166667</v>
      </c>
      <c r="L782" s="92" t="str">
        <f>IFERROR(VLOOKUP(D782,'Công T5'!$C$7:$F$89,2,0),"")</f>
        <v/>
      </c>
      <c r="M782" s="92">
        <f>IFERROR(VLOOKUP(D782,'Công T5'!$C$7:$F$89,3,0),"")</f>
        <v>0.6666666667</v>
      </c>
      <c r="N782" s="92">
        <f t="shared" si="9"/>
        <v>0.3333333333</v>
      </c>
      <c r="O782" s="92">
        <f t="shared" si="2"/>
        <v>0.6729166667</v>
      </c>
      <c r="P782" s="94">
        <f t="shared" si="3"/>
        <v>0.5</v>
      </c>
      <c r="Q782" s="94">
        <f t="shared" si="4"/>
        <v>0.5</v>
      </c>
      <c r="R782" s="95">
        <f t="shared" si="5"/>
        <v>1</v>
      </c>
      <c r="S782" s="95">
        <f t="shared" si="6"/>
        <v>0</v>
      </c>
      <c r="T782" s="95">
        <f t="shared" si="7"/>
        <v>0</v>
      </c>
    </row>
    <row r="783">
      <c r="A783" s="96">
        <v>27.0</v>
      </c>
      <c r="B783" s="103">
        <v>44685.0</v>
      </c>
      <c r="C783" s="96">
        <v>10025.0</v>
      </c>
      <c r="D783" s="98" t="s">
        <v>89</v>
      </c>
      <c r="E783" s="98" t="s">
        <v>159</v>
      </c>
      <c r="F783" s="99">
        <v>0.3284722222222222</v>
      </c>
      <c r="G783" s="99">
        <v>0.7076388888888889</v>
      </c>
      <c r="H783" s="101"/>
      <c r="I783" s="92" t="str">
        <f>IFERROR(VLOOKUP(D783,'Công T5'!$C$7:$F$89,4,0),"")</f>
        <v>TV</v>
      </c>
      <c r="J783" s="92">
        <f t="shared" si="8"/>
        <v>0.3284722222</v>
      </c>
      <c r="K783" s="92">
        <f t="shared" si="10"/>
        <v>0.7076388889</v>
      </c>
      <c r="L783" s="92" t="str">
        <f>IFERROR(VLOOKUP(D783,'Công T5'!$C$7:$F$89,2,0),"")</f>
        <v/>
      </c>
      <c r="M783" s="92">
        <f>IFERROR(VLOOKUP(D783,'Công T5'!$C$7:$F$89,3,0),"")</f>
        <v>0.6666666667</v>
      </c>
      <c r="N783" s="92">
        <f t="shared" si="9"/>
        <v>0.3333333333</v>
      </c>
      <c r="O783" s="92">
        <f t="shared" si="2"/>
        <v>0.7076388889</v>
      </c>
      <c r="P783" s="94">
        <f t="shared" si="3"/>
        <v>0.5</v>
      </c>
      <c r="Q783" s="94">
        <f t="shared" si="4"/>
        <v>0.5</v>
      </c>
      <c r="R783" s="95">
        <f t="shared" si="5"/>
        <v>1</v>
      </c>
      <c r="S783" s="95">
        <f t="shared" si="6"/>
        <v>0</v>
      </c>
      <c r="T783" s="95">
        <f t="shared" si="7"/>
        <v>0</v>
      </c>
    </row>
    <row r="784">
      <c r="A784" s="96">
        <v>28.0</v>
      </c>
      <c r="B784" s="103">
        <v>44686.0</v>
      </c>
      <c r="C784" s="96">
        <v>10025.0</v>
      </c>
      <c r="D784" s="98" t="s">
        <v>89</v>
      </c>
      <c r="E784" s="98" t="s">
        <v>159</v>
      </c>
      <c r="F784" s="99">
        <v>0.33194444444444443</v>
      </c>
      <c r="G784" s="99">
        <v>0.6722222222222223</v>
      </c>
      <c r="H784" s="101"/>
      <c r="I784" s="92" t="str">
        <f>IFERROR(VLOOKUP(D784,'Công T5'!$C$7:$F$89,4,0),"")</f>
        <v>TV</v>
      </c>
      <c r="J784" s="92">
        <f t="shared" si="8"/>
        <v>0.3319444444</v>
      </c>
      <c r="K784" s="92">
        <f t="shared" si="10"/>
        <v>0.6722222222</v>
      </c>
      <c r="L784" s="92" t="str">
        <f>IFERROR(VLOOKUP(D784,'Công T5'!$C$7:$F$89,2,0),"")</f>
        <v/>
      </c>
      <c r="M784" s="92">
        <f>IFERROR(VLOOKUP(D784,'Công T5'!$C$7:$F$89,3,0),"")</f>
        <v>0.6666666667</v>
      </c>
      <c r="N784" s="92">
        <f t="shared" si="9"/>
        <v>0.3333333333</v>
      </c>
      <c r="O784" s="92">
        <f t="shared" si="2"/>
        <v>0.6722222222</v>
      </c>
      <c r="P784" s="94">
        <f t="shared" si="3"/>
        <v>0.5</v>
      </c>
      <c r="Q784" s="94">
        <f t="shared" si="4"/>
        <v>0.5</v>
      </c>
      <c r="R784" s="95">
        <f t="shared" si="5"/>
        <v>1</v>
      </c>
      <c r="S784" s="95">
        <f t="shared" si="6"/>
        <v>0</v>
      </c>
      <c r="T784" s="95">
        <f t="shared" si="7"/>
        <v>0</v>
      </c>
    </row>
    <row r="785">
      <c r="A785" s="96">
        <v>29.0</v>
      </c>
      <c r="B785" s="103">
        <v>44687.0</v>
      </c>
      <c r="C785" s="96">
        <v>10025.0</v>
      </c>
      <c r="D785" s="98" t="s">
        <v>89</v>
      </c>
      <c r="E785" s="98" t="s">
        <v>159</v>
      </c>
      <c r="F785" s="99">
        <v>0.33125</v>
      </c>
      <c r="G785" s="99">
        <v>0.5756944444444444</v>
      </c>
      <c r="H785" s="101"/>
      <c r="I785" s="92" t="str">
        <f>IFERROR(VLOOKUP(D785,'Công T5'!$C$7:$F$89,4,0),"")</f>
        <v>TV</v>
      </c>
      <c r="J785" s="92">
        <f t="shared" si="8"/>
        <v>0.33125</v>
      </c>
      <c r="K785" s="92">
        <f t="shared" si="10"/>
        <v>0.5756944444</v>
      </c>
      <c r="L785" s="92" t="str">
        <f>IFERROR(VLOOKUP(D785,'Công T5'!$C$7:$F$89,2,0),"")</f>
        <v/>
      </c>
      <c r="M785" s="92">
        <f>IFERROR(VLOOKUP(D785,'Công T5'!$C$7:$F$89,3,0),"")</f>
        <v>0.6666666667</v>
      </c>
      <c r="N785" s="92">
        <f t="shared" si="9"/>
        <v>0.3333333333</v>
      </c>
      <c r="O785" s="92">
        <f t="shared" si="2"/>
        <v>0.5756944444</v>
      </c>
      <c r="P785" s="94">
        <f t="shared" si="3"/>
        <v>0.5</v>
      </c>
      <c r="Q785" s="94">
        <f t="shared" si="4"/>
        <v>0.1020833333</v>
      </c>
      <c r="R785" s="95">
        <f t="shared" si="5"/>
        <v>0.6020833333</v>
      </c>
      <c r="S785" s="95">
        <f t="shared" si="6"/>
        <v>0</v>
      </c>
      <c r="T785" s="95">
        <f t="shared" si="7"/>
        <v>0</v>
      </c>
    </row>
    <row r="786">
      <c r="A786" s="96">
        <v>30.0</v>
      </c>
      <c r="B786" s="103">
        <v>44688.0</v>
      </c>
      <c r="C786" s="96">
        <v>10025.0</v>
      </c>
      <c r="D786" s="98" t="s">
        <v>89</v>
      </c>
      <c r="E786" s="98" t="s">
        <v>159</v>
      </c>
      <c r="F786" s="99">
        <v>0.3326388888888889</v>
      </c>
      <c r="G786" s="99">
        <v>0.6694444444444444</v>
      </c>
      <c r="H786" s="101"/>
      <c r="I786" s="92" t="str">
        <f>IFERROR(VLOOKUP(D786,'Công T5'!$C$7:$F$89,4,0),"")</f>
        <v>TV</v>
      </c>
      <c r="J786" s="92">
        <f t="shared" si="8"/>
        <v>0.3326388889</v>
      </c>
      <c r="K786" s="92">
        <f t="shared" si="10"/>
        <v>0.6694444444</v>
      </c>
      <c r="L786" s="92" t="str">
        <f>IFERROR(VLOOKUP(D786,'Công T5'!$C$7:$F$89,2,0),"")</f>
        <v/>
      </c>
      <c r="M786" s="92">
        <f>IFERROR(VLOOKUP(D786,'Công T5'!$C$7:$F$89,3,0),"")</f>
        <v>0.6666666667</v>
      </c>
      <c r="N786" s="92">
        <f t="shared" si="9"/>
        <v>0.3333333333</v>
      </c>
      <c r="O786" s="92">
        <f t="shared" si="2"/>
        <v>0.6694444444</v>
      </c>
      <c r="P786" s="94">
        <f t="shared" si="3"/>
        <v>0.5</v>
      </c>
      <c r="Q786" s="94">
        <f t="shared" si="4"/>
        <v>0.5</v>
      </c>
      <c r="R786" s="95">
        <f t="shared" si="5"/>
        <v>1</v>
      </c>
      <c r="S786" s="95">
        <f t="shared" si="6"/>
        <v>0</v>
      </c>
      <c r="T786" s="95">
        <f t="shared" si="7"/>
        <v>0</v>
      </c>
    </row>
    <row r="787">
      <c r="A787" s="96">
        <v>31.0</v>
      </c>
      <c r="B787" s="103">
        <v>44690.0</v>
      </c>
      <c r="C787" s="96">
        <v>10025.0</v>
      </c>
      <c r="D787" s="98" t="s">
        <v>89</v>
      </c>
      <c r="E787" s="98" t="s">
        <v>159</v>
      </c>
      <c r="F787" s="99">
        <v>0.33055555555555555</v>
      </c>
      <c r="G787" s="99">
        <v>0.6777777777777778</v>
      </c>
      <c r="H787" s="101"/>
      <c r="I787" s="92" t="str">
        <f>IFERROR(VLOOKUP(D787,'Công T5'!$C$7:$F$89,4,0),"")</f>
        <v>TV</v>
      </c>
      <c r="J787" s="92">
        <f t="shared" si="8"/>
        <v>0.3305555556</v>
      </c>
      <c r="K787" s="92">
        <f t="shared" si="10"/>
        <v>0.6777777778</v>
      </c>
      <c r="L787" s="92" t="str">
        <f>IFERROR(VLOOKUP(D787,'Công T5'!$C$7:$F$89,2,0),"")</f>
        <v/>
      </c>
      <c r="M787" s="92">
        <f>IFERROR(VLOOKUP(D787,'Công T5'!$C$7:$F$89,3,0),"")</f>
        <v>0.6666666667</v>
      </c>
      <c r="N787" s="92">
        <f t="shared" si="9"/>
        <v>0.3333333333</v>
      </c>
      <c r="O787" s="92">
        <f t="shared" si="2"/>
        <v>0.6777777778</v>
      </c>
      <c r="P787" s="94">
        <f t="shared" si="3"/>
        <v>0.5</v>
      </c>
      <c r="Q787" s="94">
        <f t="shared" si="4"/>
        <v>0.5</v>
      </c>
      <c r="R787" s="95">
        <f t="shared" si="5"/>
        <v>1</v>
      </c>
      <c r="S787" s="95">
        <f t="shared" si="6"/>
        <v>0</v>
      </c>
      <c r="T787" s="95">
        <f t="shared" si="7"/>
        <v>0</v>
      </c>
    </row>
    <row r="788">
      <c r="A788" s="96">
        <v>32.0</v>
      </c>
      <c r="B788" s="103">
        <v>44691.0</v>
      </c>
      <c r="C788" s="96">
        <v>10025.0</v>
      </c>
      <c r="D788" s="98" t="s">
        <v>89</v>
      </c>
      <c r="E788" s="98" t="s">
        <v>159</v>
      </c>
      <c r="F788" s="99">
        <v>0.3326388888888889</v>
      </c>
      <c r="G788" s="99">
        <v>0.6701388888888888</v>
      </c>
      <c r="H788" s="101"/>
      <c r="I788" s="92" t="str">
        <f>IFERROR(VLOOKUP(D788,'Công T5'!$C$7:$F$89,4,0),"")</f>
        <v>TV</v>
      </c>
      <c r="J788" s="92">
        <f t="shared" si="8"/>
        <v>0.3326388889</v>
      </c>
      <c r="K788" s="92">
        <f t="shared" si="10"/>
        <v>0.6701388889</v>
      </c>
      <c r="L788" s="92" t="str">
        <f>IFERROR(VLOOKUP(D788,'Công T5'!$C$7:$F$89,2,0),"")</f>
        <v/>
      </c>
      <c r="M788" s="92">
        <f>IFERROR(VLOOKUP(D788,'Công T5'!$C$7:$F$89,3,0),"")</f>
        <v>0.6666666667</v>
      </c>
      <c r="N788" s="92">
        <f t="shared" si="9"/>
        <v>0.3333333333</v>
      </c>
      <c r="O788" s="92">
        <f t="shared" si="2"/>
        <v>0.6701388889</v>
      </c>
      <c r="P788" s="94">
        <f t="shared" si="3"/>
        <v>0.5</v>
      </c>
      <c r="Q788" s="94">
        <f t="shared" si="4"/>
        <v>0.5</v>
      </c>
      <c r="R788" s="95">
        <f t="shared" si="5"/>
        <v>1</v>
      </c>
      <c r="S788" s="95">
        <f t="shared" si="6"/>
        <v>0</v>
      </c>
      <c r="T788" s="95">
        <f t="shared" si="7"/>
        <v>0</v>
      </c>
    </row>
    <row r="789">
      <c r="A789" s="96">
        <v>33.0</v>
      </c>
      <c r="B789" s="103">
        <v>44692.0</v>
      </c>
      <c r="C789" s="96">
        <v>10025.0</v>
      </c>
      <c r="D789" s="98" t="s">
        <v>89</v>
      </c>
      <c r="E789" s="98" t="s">
        <v>159</v>
      </c>
      <c r="F789" s="99">
        <v>0.3326388888888889</v>
      </c>
      <c r="G789" s="99">
        <v>0.6722222222222223</v>
      </c>
      <c r="H789" s="101"/>
      <c r="I789" s="92" t="str">
        <f>IFERROR(VLOOKUP(D789,'Công T5'!$C$7:$F$89,4,0),"")</f>
        <v>TV</v>
      </c>
      <c r="J789" s="92">
        <f t="shared" si="8"/>
        <v>0.3326388889</v>
      </c>
      <c r="K789" s="92">
        <f t="shared" si="10"/>
        <v>0.6722222222</v>
      </c>
      <c r="L789" s="92" t="str">
        <f>IFERROR(VLOOKUP(D789,'Công T5'!$C$7:$F$89,2,0),"")</f>
        <v/>
      </c>
      <c r="M789" s="92">
        <f>IFERROR(VLOOKUP(D789,'Công T5'!$C$7:$F$89,3,0),"")</f>
        <v>0.6666666667</v>
      </c>
      <c r="N789" s="92">
        <f t="shared" si="9"/>
        <v>0.3333333333</v>
      </c>
      <c r="O789" s="92">
        <f t="shared" si="2"/>
        <v>0.6722222222</v>
      </c>
      <c r="P789" s="94">
        <f t="shared" si="3"/>
        <v>0.5</v>
      </c>
      <c r="Q789" s="94">
        <f t="shared" si="4"/>
        <v>0.5</v>
      </c>
      <c r="R789" s="95">
        <f t="shared" si="5"/>
        <v>1</v>
      </c>
      <c r="S789" s="95">
        <f t="shared" si="6"/>
        <v>0</v>
      </c>
      <c r="T789" s="95">
        <f t="shared" si="7"/>
        <v>0</v>
      </c>
    </row>
    <row r="790">
      <c r="A790" s="96">
        <v>34.0</v>
      </c>
      <c r="B790" s="103">
        <v>44693.0</v>
      </c>
      <c r="C790" s="96">
        <v>10025.0</v>
      </c>
      <c r="D790" s="98" t="s">
        <v>89</v>
      </c>
      <c r="E790" s="98" t="s">
        <v>159</v>
      </c>
      <c r="F790" s="99">
        <v>0.3326388888888889</v>
      </c>
      <c r="G790" s="99">
        <v>0.6673611111111111</v>
      </c>
      <c r="H790" s="101"/>
      <c r="I790" s="92" t="str">
        <f>IFERROR(VLOOKUP(D790,'Công T5'!$C$7:$F$89,4,0),"")</f>
        <v>TV</v>
      </c>
      <c r="J790" s="92">
        <f t="shared" si="8"/>
        <v>0.3326388889</v>
      </c>
      <c r="K790" s="92">
        <f t="shared" si="10"/>
        <v>0.6673611111</v>
      </c>
      <c r="L790" s="92" t="str">
        <f>IFERROR(VLOOKUP(D790,'Công T5'!$C$7:$F$89,2,0),"")</f>
        <v/>
      </c>
      <c r="M790" s="92">
        <f>IFERROR(VLOOKUP(D790,'Công T5'!$C$7:$F$89,3,0),"")</f>
        <v>0.6666666667</v>
      </c>
      <c r="N790" s="92">
        <f t="shared" si="9"/>
        <v>0.3333333333</v>
      </c>
      <c r="O790" s="92">
        <f t="shared" si="2"/>
        <v>0.6673611111</v>
      </c>
      <c r="P790" s="94">
        <f t="shared" si="3"/>
        <v>0.5</v>
      </c>
      <c r="Q790" s="94">
        <f t="shared" si="4"/>
        <v>0.5</v>
      </c>
      <c r="R790" s="95">
        <f t="shared" si="5"/>
        <v>1</v>
      </c>
      <c r="S790" s="95">
        <f t="shared" si="6"/>
        <v>0</v>
      </c>
      <c r="T790" s="95">
        <f t="shared" si="7"/>
        <v>0</v>
      </c>
    </row>
    <row r="791">
      <c r="A791" s="96">
        <v>35.0</v>
      </c>
      <c r="B791" s="103">
        <v>44694.0</v>
      </c>
      <c r="C791" s="96">
        <v>10025.0</v>
      </c>
      <c r="D791" s="98" t="s">
        <v>89</v>
      </c>
      <c r="E791" s="98" t="s">
        <v>159</v>
      </c>
      <c r="F791" s="99">
        <v>0.3472222222222222</v>
      </c>
      <c r="G791" s="99">
        <v>0.6708333333333333</v>
      </c>
      <c r="H791" s="101"/>
      <c r="I791" s="92" t="str">
        <f>IFERROR(VLOOKUP(D791,'Công T5'!$C$7:$F$89,4,0),"")</f>
        <v>TV</v>
      </c>
      <c r="J791" s="92">
        <f t="shared" si="8"/>
        <v>0.3472222222</v>
      </c>
      <c r="K791" s="92">
        <f t="shared" si="10"/>
        <v>0.6708333333</v>
      </c>
      <c r="L791" s="92" t="str">
        <f>IFERROR(VLOOKUP(D791,'Công T5'!$C$7:$F$89,2,0),"")</f>
        <v/>
      </c>
      <c r="M791" s="92">
        <f>IFERROR(VLOOKUP(D791,'Công T5'!$C$7:$F$89,3,0),"")</f>
        <v>0.6666666667</v>
      </c>
      <c r="N791" s="92">
        <f t="shared" si="9"/>
        <v>0.3333333333</v>
      </c>
      <c r="O791" s="92">
        <f t="shared" si="2"/>
        <v>0.6708333333</v>
      </c>
      <c r="P791" s="94">
        <f t="shared" si="3"/>
        <v>0.5</v>
      </c>
      <c r="Q791" s="94">
        <f t="shared" si="4"/>
        <v>0.5</v>
      </c>
      <c r="R791" s="95">
        <f t="shared" si="5"/>
        <v>1</v>
      </c>
      <c r="S791" s="95">
        <f t="shared" si="6"/>
        <v>1</v>
      </c>
      <c r="T791" s="95">
        <f t="shared" si="7"/>
        <v>0</v>
      </c>
    </row>
    <row r="792">
      <c r="A792" s="96">
        <v>36.0</v>
      </c>
      <c r="B792" s="103">
        <v>44697.0</v>
      </c>
      <c r="C792" s="96">
        <v>10025.0</v>
      </c>
      <c r="D792" s="98" t="s">
        <v>89</v>
      </c>
      <c r="E792" s="98" t="s">
        <v>159</v>
      </c>
      <c r="F792" s="99">
        <v>0.3326388888888889</v>
      </c>
      <c r="G792" s="99">
        <v>0.6673611111111111</v>
      </c>
      <c r="H792" s="101"/>
      <c r="I792" s="92" t="str">
        <f>IFERROR(VLOOKUP(D792,'Công T5'!$C$7:$F$89,4,0),"")</f>
        <v>TV</v>
      </c>
      <c r="J792" s="92">
        <f t="shared" si="8"/>
        <v>0.3326388889</v>
      </c>
      <c r="K792" s="92">
        <f t="shared" si="10"/>
        <v>0.6673611111</v>
      </c>
      <c r="L792" s="92" t="str">
        <f>IFERROR(VLOOKUP(D792,'Công T5'!$C$7:$F$89,2,0),"")</f>
        <v/>
      </c>
      <c r="M792" s="92">
        <f>IFERROR(VLOOKUP(D792,'Công T5'!$C$7:$F$89,3,0),"")</f>
        <v>0.6666666667</v>
      </c>
      <c r="N792" s="92">
        <f t="shared" si="9"/>
        <v>0.3333333333</v>
      </c>
      <c r="O792" s="92">
        <f t="shared" si="2"/>
        <v>0.6673611111</v>
      </c>
      <c r="P792" s="94">
        <f t="shared" si="3"/>
        <v>0.5</v>
      </c>
      <c r="Q792" s="94">
        <f t="shared" si="4"/>
        <v>0.5</v>
      </c>
      <c r="R792" s="95">
        <f t="shared" si="5"/>
        <v>1</v>
      </c>
      <c r="S792" s="95">
        <f t="shared" si="6"/>
        <v>0</v>
      </c>
      <c r="T792" s="95">
        <f t="shared" si="7"/>
        <v>0</v>
      </c>
    </row>
    <row r="793">
      <c r="A793" s="96">
        <v>37.0</v>
      </c>
      <c r="B793" s="103">
        <v>44698.0</v>
      </c>
      <c r="C793" s="96">
        <v>10025.0</v>
      </c>
      <c r="D793" s="98" t="s">
        <v>89</v>
      </c>
      <c r="E793" s="98" t="s">
        <v>159</v>
      </c>
      <c r="F793" s="99">
        <v>0.3375</v>
      </c>
      <c r="G793" s="99">
        <v>0.6826388888888889</v>
      </c>
      <c r="H793" s="101"/>
      <c r="I793" s="92" t="str">
        <f>IFERROR(VLOOKUP(D793,'Công T5'!$C$7:$F$89,4,0),"")</f>
        <v>TV</v>
      </c>
      <c r="J793" s="92">
        <f t="shared" si="8"/>
        <v>0.3375</v>
      </c>
      <c r="K793" s="92">
        <f t="shared" si="10"/>
        <v>0.6826388889</v>
      </c>
      <c r="L793" s="92" t="str">
        <f>IFERROR(VLOOKUP(D793,'Công T5'!$C$7:$F$89,2,0),"")</f>
        <v/>
      </c>
      <c r="M793" s="92">
        <f>IFERROR(VLOOKUP(D793,'Công T5'!$C$7:$F$89,3,0),"")</f>
        <v>0.6666666667</v>
      </c>
      <c r="N793" s="92">
        <f t="shared" si="9"/>
        <v>0.3333333333</v>
      </c>
      <c r="O793" s="92">
        <f t="shared" si="2"/>
        <v>0.6826388889</v>
      </c>
      <c r="P793" s="94">
        <f t="shared" si="3"/>
        <v>0.5</v>
      </c>
      <c r="Q793" s="94">
        <f t="shared" si="4"/>
        <v>0.5</v>
      </c>
      <c r="R793" s="95">
        <f t="shared" si="5"/>
        <v>1</v>
      </c>
      <c r="S793" s="95">
        <f t="shared" si="6"/>
        <v>1</v>
      </c>
      <c r="T793" s="95">
        <f t="shared" si="7"/>
        <v>0</v>
      </c>
    </row>
    <row r="794">
      <c r="A794" s="96">
        <v>38.0</v>
      </c>
      <c r="B794" s="103">
        <v>44699.0</v>
      </c>
      <c r="C794" s="96">
        <v>10025.0</v>
      </c>
      <c r="D794" s="98" t="s">
        <v>89</v>
      </c>
      <c r="E794" s="98" t="s">
        <v>159</v>
      </c>
      <c r="F794" s="99">
        <v>0.3326388888888889</v>
      </c>
      <c r="G794" s="99">
        <v>0.6694444444444444</v>
      </c>
      <c r="H794" s="101"/>
      <c r="I794" s="92" t="str">
        <f>IFERROR(VLOOKUP(D794,'Công T5'!$C$7:$F$89,4,0),"")</f>
        <v>TV</v>
      </c>
      <c r="J794" s="92">
        <f t="shared" si="8"/>
        <v>0.3326388889</v>
      </c>
      <c r="K794" s="92">
        <f t="shared" si="10"/>
        <v>0.6694444444</v>
      </c>
      <c r="L794" s="92" t="str">
        <f>IFERROR(VLOOKUP(D794,'Công T5'!$C$7:$F$89,2,0),"")</f>
        <v/>
      </c>
      <c r="M794" s="92">
        <f>IFERROR(VLOOKUP(D794,'Công T5'!$C$7:$F$89,3,0),"")</f>
        <v>0.6666666667</v>
      </c>
      <c r="N794" s="92">
        <f t="shared" si="9"/>
        <v>0.3333333333</v>
      </c>
      <c r="O794" s="92">
        <f t="shared" si="2"/>
        <v>0.6694444444</v>
      </c>
      <c r="P794" s="94">
        <f t="shared" si="3"/>
        <v>0.5</v>
      </c>
      <c r="Q794" s="94">
        <f t="shared" si="4"/>
        <v>0.5</v>
      </c>
      <c r="R794" s="95">
        <f t="shared" si="5"/>
        <v>1</v>
      </c>
      <c r="S794" s="95">
        <f t="shared" si="6"/>
        <v>0</v>
      </c>
      <c r="T794" s="95">
        <f t="shared" si="7"/>
        <v>0</v>
      </c>
    </row>
    <row r="795">
      <c r="A795" s="96">
        <v>39.0</v>
      </c>
      <c r="B795" s="103">
        <v>44700.0</v>
      </c>
      <c r="C795" s="96">
        <v>10025.0</v>
      </c>
      <c r="D795" s="98" t="s">
        <v>89</v>
      </c>
      <c r="E795" s="98" t="s">
        <v>159</v>
      </c>
      <c r="F795" s="99">
        <v>0.3770833333333333</v>
      </c>
      <c r="G795" s="99">
        <v>0.6729166666666667</v>
      </c>
      <c r="H795" s="101"/>
      <c r="I795" s="92" t="str">
        <f>IFERROR(VLOOKUP(D795,'Công T5'!$C$7:$F$89,4,0),"")</f>
        <v>TV</v>
      </c>
      <c r="J795" s="92">
        <f t="shared" si="8"/>
        <v>0.3770833333</v>
      </c>
      <c r="K795" s="92">
        <f t="shared" si="10"/>
        <v>0.6729166667</v>
      </c>
      <c r="L795" s="92" t="str">
        <f>IFERROR(VLOOKUP(D795,'Công T5'!$C$7:$F$89,2,0),"")</f>
        <v/>
      </c>
      <c r="M795" s="92">
        <f>IFERROR(VLOOKUP(D795,'Công T5'!$C$7:$F$89,3,0),"")</f>
        <v>0.6666666667</v>
      </c>
      <c r="N795" s="92">
        <f t="shared" si="9"/>
        <v>0.3770833333</v>
      </c>
      <c r="O795" s="92">
        <f t="shared" si="2"/>
        <v>0.6729166667</v>
      </c>
      <c r="P795" s="94">
        <f t="shared" si="3"/>
        <v>0.36875</v>
      </c>
      <c r="Q795" s="94">
        <f t="shared" si="4"/>
        <v>0.5</v>
      </c>
      <c r="R795" s="95">
        <f t="shared" si="5"/>
        <v>0.86875</v>
      </c>
      <c r="S795" s="95">
        <f t="shared" si="6"/>
        <v>1</v>
      </c>
      <c r="T795" s="95">
        <f t="shared" si="7"/>
        <v>0</v>
      </c>
    </row>
    <row r="796">
      <c r="A796" s="96">
        <v>40.0</v>
      </c>
      <c r="B796" s="103">
        <v>44701.0</v>
      </c>
      <c r="C796" s="96">
        <v>10025.0</v>
      </c>
      <c r="D796" s="98" t="s">
        <v>89</v>
      </c>
      <c r="E796" s="98" t="s">
        <v>159</v>
      </c>
      <c r="F796" s="99">
        <v>0.32916666666666666</v>
      </c>
      <c r="G796" s="99">
        <v>0.6708333333333333</v>
      </c>
      <c r="H796" s="101"/>
      <c r="I796" s="92" t="str">
        <f>IFERROR(VLOOKUP(D796,'Công T5'!$C$7:$F$89,4,0),"")</f>
        <v>TV</v>
      </c>
      <c r="J796" s="92">
        <f t="shared" si="8"/>
        <v>0.3291666667</v>
      </c>
      <c r="K796" s="92">
        <f t="shared" si="10"/>
        <v>0.6708333333</v>
      </c>
      <c r="L796" s="92" t="str">
        <f>IFERROR(VLOOKUP(D796,'Công T5'!$C$7:$F$89,2,0),"")</f>
        <v/>
      </c>
      <c r="M796" s="92">
        <f>IFERROR(VLOOKUP(D796,'Công T5'!$C$7:$F$89,3,0),"")</f>
        <v>0.6666666667</v>
      </c>
      <c r="N796" s="92">
        <f t="shared" si="9"/>
        <v>0.3333333333</v>
      </c>
      <c r="O796" s="92">
        <f t="shared" si="2"/>
        <v>0.6708333333</v>
      </c>
      <c r="P796" s="94">
        <f t="shared" si="3"/>
        <v>0.5</v>
      </c>
      <c r="Q796" s="94">
        <f t="shared" si="4"/>
        <v>0.5</v>
      </c>
      <c r="R796" s="95">
        <f t="shared" si="5"/>
        <v>1</v>
      </c>
      <c r="S796" s="95">
        <f t="shared" si="6"/>
        <v>0</v>
      </c>
      <c r="T796" s="95">
        <f t="shared" si="7"/>
        <v>0</v>
      </c>
    </row>
    <row r="797">
      <c r="A797" s="96">
        <v>41.0</v>
      </c>
      <c r="B797" s="103">
        <v>44702.0</v>
      </c>
      <c r="C797" s="96">
        <v>10025.0</v>
      </c>
      <c r="D797" s="98" t="s">
        <v>89</v>
      </c>
      <c r="E797" s="98" t="s">
        <v>159</v>
      </c>
      <c r="F797" s="99">
        <v>0.33125</v>
      </c>
      <c r="G797" s="99">
        <v>0.6708333333333333</v>
      </c>
      <c r="H797" s="101"/>
      <c r="I797" s="92" t="str">
        <f>IFERROR(VLOOKUP(D797,'Công T5'!$C$7:$F$89,4,0),"")</f>
        <v>TV</v>
      </c>
      <c r="J797" s="92">
        <f t="shared" si="8"/>
        <v>0.33125</v>
      </c>
      <c r="K797" s="92">
        <f t="shared" si="10"/>
        <v>0.6708333333</v>
      </c>
      <c r="L797" s="92" t="str">
        <f>IFERROR(VLOOKUP(D797,'Công T5'!$C$7:$F$89,2,0),"")</f>
        <v/>
      </c>
      <c r="M797" s="92">
        <f>IFERROR(VLOOKUP(D797,'Công T5'!$C$7:$F$89,3,0),"")</f>
        <v>0.6666666667</v>
      </c>
      <c r="N797" s="92">
        <f t="shared" si="9"/>
        <v>0.3333333333</v>
      </c>
      <c r="O797" s="92">
        <f t="shared" si="2"/>
        <v>0.6708333333</v>
      </c>
      <c r="P797" s="94">
        <f t="shared" si="3"/>
        <v>0.5</v>
      </c>
      <c r="Q797" s="94">
        <f t="shared" si="4"/>
        <v>0.5</v>
      </c>
      <c r="R797" s="95">
        <f t="shared" si="5"/>
        <v>1</v>
      </c>
      <c r="S797" s="95">
        <f t="shared" si="6"/>
        <v>0</v>
      </c>
      <c r="T797" s="95">
        <f t="shared" si="7"/>
        <v>0</v>
      </c>
    </row>
    <row r="798">
      <c r="A798" s="96">
        <v>42.0</v>
      </c>
      <c r="B798" s="103">
        <v>44704.0</v>
      </c>
      <c r="C798" s="96">
        <v>10025.0</v>
      </c>
      <c r="D798" s="98" t="s">
        <v>89</v>
      </c>
      <c r="E798" s="98" t="s">
        <v>159</v>
      </c>
      <c r="F798" s="99">
        <v>0.3326388888888889</v>
      </c>
      <c r="G798" s="99">
        <v>0.6708333333333333</v>
      </c>
      <c r="H798" s="101"/>
      <c r="I798" s="92" t="str">
        <f>IFERROR(VLOOKUP(D798,'Công T5'!$C$7:$F$89,4,0),"")</f>
        <v>TV</v>
      </c>
      <c r="J798" s="92">
        <f t="shared" si="8"/>
        <v>0.3326388889</v>
      </c>
      <c r="K798" s="92">
        <f t="shared" si="10"/>
        <v>0.6708333333</v>
      </c>
      <c r="L798" s="92" t="str">
        <f>IFERROR(VLOOKUP(D798,'Công T5'!$C$7:$F$89,2,0),"")</f>
        <v/>
      </c>
      <c r="M798" s="92">
        <f>IFERROR(VLOOKUP(D798,'Công T5'!$C$7:$F$89,3,0),"")</f>
        <v>0.6666666667</v>
      </c>
      <c r="N798" s="92">
        <f t="shared" si="9"/>
        <v>0.3333333333</v>
      </c>
      <c r="O798" s="92">
        <f t="shared" si="2"/>
        <v>0.6708333333</v>
      </c>
      <c r="P798" s="94">
        <f t="shared" si="3"/>
        <v>0.5</v>
      </c>
      <c r="Q798" s="94">
        <f t="shared" si="4"/>
        <v>0.5</v>
      </c>
      <c r="R798" s="95">
        <f t="shared" si="5"/>
        <v>1</v>
      </c>
      <c r="S798" s="95">
        <f t="shared" si="6"/>
        <v>0</v>
      </c>
      <c r="T798" s="95">
        <f t="shared" si="7"/>
        <v>0</v>
      </c>
    </row>
    <row r="799">
      <c r="A799" s="96">
        <v>43.0</v>
      </c>
      <c r="B799" s="103">
        <v>44705.0</v>
      </c>
      <c r="C799" s="96">
        <v>10025.0</v>
      </c>
      <c r="D799" s="98" t="s">
        <v>89</v>
      </c>
      <c r="E799" s="98" t="s">
        <v>159</v>
      </c>
      <c r="F799" s="99">
        <v>0.3840277777777778</v>
      </c>
      <c r="G799" s="99">
        <v>0.6868055555555556</v>
      </c>
      <c r="H799" s="101"/>
      <c r="I799" s="92" t="str">
        <f>IFERROR(VLOOKUP(D799,'Công T5'!$C$7:$F$89,4,0),"")</f>
        <v>TV</v>
      </c>
      <c r="J799" s="92">
        <f t="shared" si="8"/>
        <v>0.3840277778</v>
      </c>
      <c r="K799" s="92">
        <f t="shared" si="10"/>
        <v>0.6868055556</v>
      </c>
      <c r="L799" s="92" t="str">
        <f>IFERROR(VLOOKUP(D799,'Công T5'!$C$7:$F$89,2,0),"")</f>
        <v/>
      </c>
      <c r="M799" s="92">
        <f>IFERROR(VLOOKUP(D799,'Công T5'!$C$7:$F$89,3,0),"")</f>
        <v>0.6666666667</v>
      </c>
      <c r="N799" s="92">
        <f t="shared" si="9"/>
        <v>0.3840277778</v>
      </c>
      <c r="O799" s="92">
        <f t="shared" si="2"/>
        <v>0.6868055556</v>
      </c>
      <c r="P799" s="94">
        <f t="shared" si="3"/>
        <v>0.3479166667</v>
      </c>
      <c r="Q799" s="94">
        <f t="shared" si="4"/>
        <v>0.5</v>
      </c>
      <c r="R799" s="95">
        <f t="shared" si="5"/>
        <v>0.8479166667</v>
      </c>
      <c r="S799" s="95">
        <f t="shared" si="6"/>
        <v>1</v>
      </c>
      <c r="T799" s="95">
        <f t="shared" si="7"/>
        <v>0</v>
      </c>
    </row>
    <row r="800">
      <c r="A800" s="96">
        <v>44.0</v>
      </c>
      <c r="B800" s="103">
        <v>44706.0</v>
      </c>
      <c r="C800" s="96">
        <v>10025.0</v>
      </c>
      <c r="D800" s="98" t="s">
        <v>89</v>
      </c>
      <c r="E800" s="98" t="s">
        <v>159</v>
      </c>
      <c r="F800" s="99">
        <v>0.33194444444444443</v>
      </c>
      <c r="G800" s="99">
        <v>0.6701388888888888</v>
      </c>
      <c r="H800" s="101"/>
      <c r="I800" s="92" t="str">
        <f>IFERROR(VLOOKUP(D800,'Công T5'!$C$7:$F$89,4,0),"")</f>
        <v>TV</v>
      </c>
      <c r="J800" s="92">
        <f t="shared" si="8"/>
        <v>0.3319444444</v>
      </c>
      <c r="K800" s="92">
        <f t="shared" si="10"/>
        <v>0.6701388889</v>
      </c>
      <c r="L800" s="92" t="str">
        <f>IFERROR(VLOOKUP(D800,'Công T5'!$C$7:$F$89,2,0),"")</f>
        <v/>
      </c>
      <c r="M800" s="92">
        <f>IFERROR(VLOOKUP(D800,'Công T5'!$C$7:$F$89,3,0),"")</f>
        <v>0.6666666667</v>
      </c>
      <c r="N800" s="92">
        <f t="shared" si="9"/>
        <v>0.3333333333</v>
      </c>
      <c r="O800" s="92">
        <f t="shared" si="2"/>
        <v>0.6701388889</v>
      </c>
      <c r="P800" s="94">
        <f t="shared" si="3"/>
        <v>0.5</v>
      </c>
      <c r="Q800" s="94">
        <f t="shared" si="4"/>
        <v>0.5</v>
      </c>
      <c r="R800" s="95">
        <f t="shared" si="5"/>
        <v>1</v>
      </c>
      <c r="S800" s="95">
        <f t="shared" si="6"/>
        <v>0</v>
      </c>
      <c r="T800" s="95">
        <f t="shared" si="7"/>
        <v>0</v>
      </c>
    </row>
    <row r="801">
      <c r="A801" s="96">
        <v>45.0</v>
      </c>
      <c r="B801" s="103">
        <v>44679.0</v>
      </c>
      <c r="C801" s="96">
        <v>10328.0</v>
      </c>
      <c r="D801" s="98" t="s">
        <v>88</v>
      </c>
      <c r="E801" s="104"/>
      <c r="F801" s="99">
        <v>0.3326388888888889</v>
      </c>
      <c r="G801" s="99">
        <v>0.7125</v>
      </c>
      <c r="H801" s="101"/>
      <c r="I801" s="92" t="str">
        <f>IFERROR(VLOOKUP(D801,'Công T5'!$C$7:$F$89,4,0),"")</f>
        <v>TV</v>
      </c>
      <c r="J801" s="92">
        <f t="shared" si="8"/>
        <v>0.3326388889</v>
      </c>
      <c r="K801" s="92">
        <f t="shared" si="10"/>
        <v>0.7125</v>
      </c>
      <c r="L801" s="92" t="str">
        <f>IFERROR(VLOOKUP(D801,'Công T5'!$C$7:$F$89,2,0),"")</f>
        <v/>
      </c>
      <c r="M801" s="92" t="str">
        <f>IFERROR(VLOOKUP(D801,'Công T5'!$C$7:$F$89,3,0),"")</f>
        <v/>
      </c>
      <c r="N801" s="92">
        <f t="shared" si="9"/>
        <v>0.3333333333</v>
      </c>
      <c r="O801" s="92">
        <f t="shared" si="2"/>
        <v>0.7083333333</v>
      </c>
      <c r="P801" s="94">
        <f t="shared" si="3"/>
        <v>0.5</v>
      </c>
      <c r="Q801" s="94">
        <f t="shared" si="4"/>
        <v>0.5</v>
      </c>
      <c r="R801" s="95">
        <f t="shared" si="5"/>
        <v>1</v>
      </c>
      <c r="S801" s="95">
        <f t="shared" si="6"/>
        <v>0</v>
      </c>
      <c r="T801" s="95">
        <f t="shared" si="7"/>
        <v>0</v>
      </c>
    </row>
    <row r="802">
      <c r="A802" s="96">
        <v>46.0</v>
      </c>
      <c r="B802" s="103">
        <v>44686.0</v>
      </c>
      <c r="C802" s="96">
        <v>10328.0</v>
      </c>
      <c r="D802" s="98" t="s">
        <v>88</v>
      </c>
      <c r="E802" s="104"/>
      <c r="F802" s="99">
        <v>0.33125</v>
      </c>
      <c r="G802" s="99">
        <v>0.7180555555555556</v>
      </c>
      <c r="H802" s="101"/>
      <c r="I802" s="92" t="str">
        <f>IFERROR(VLOOKUP(D802,'Công T5'!$C$7:$F$89,4,0),"")</f>
        <v>TV</v>
      </c>
      <c r="J802" s="92">
        <f t="shared" si="8"/>
        <v>0.33125</v>
      </c>
      <c r="K802" s="92">
        <f t="shared" si="10"/>
        <v>0.7180555556</v>
      </c>
      <c r="L802" s="92" t="str">
        <f>IFERROR(VLOOKUP(D802,'Công T5'!$C$7:$F$89,2,0),"")</f>
        <v/>
      </c>
      <c r="M802" s="92" t="str">
        <f>IFERROR(VLOOKUP(D802,'Công T5'!$C$7:$F$89,3,0),"")</f>
        <v/>
      </c>
      <c r="N802" s="92">
        <f t="shared" si="9"/>
        <v>0.3333333333</v>
      </c>
      <c r="O802" s="92">
        <f t="shared" si="2"/>
        <v>0.7083333333</v>
      </c>
      <c r="P802" s="94">
        <f t="shared" si="3"/>
        <v>0.5</v>
      </c>
      <c r="Q802" s="94">
        <f t="shared" si="4"/>
        <v>0.5</v>
      </c>
      <c r="R802" s="95">
        <f t="shared" si="5"/>
        <v>1</v>
      </c>
      <c r="S802" s="95">
        <f t="shared" si="6"/>
        <v>0</v>
      </c>
      <c r="T802" s="95">
        <f t="shared" si="7"/>
        <v>0</v>
      </c>
    </row>
    <row r="803">
      <c r="A803" s="96">
        <v>47.0</v>
      </c>
      <c r="B803" s="103">
        <v>44694.0</v>
      </c>
      <c r="C803" s="96">
        <v>10328.0</v>
      </c>
      <c r="D803" s="98" t="s">
        <v>88</v>
      </c>
      <c r="E803" s="104"/>
      <c r="F803" s="99">
        <v>0.33194444444444443</v>
      </c>
      <c r="G803" s="99">
        <v>0.71875</v>
      </c>
      <c r="H803" s="101"/>
      <c r="I803" s="92" t="str">
        <f>IFERROR(VLOOKUP(D803,'Công T5'!$C$7:$F$89,4,0),"")</f>
        <v>TV</v>
      </c>
      <c r="J803" s="92">
        <f t="shared" si="8"/>
        <v>0.3319444444</v>
      </c>
      <c r="K803" s="92">
        <f t="shared" si="10"/>
        <v>0.71875</v>
      </c>
      <c r="L803" s="92" t="str">
        <f>IFERROR(VLOOKUP(D803,'Công T5'!$C$7:$F$89,2,0),"")</f>
        <v/>
      </c>
      <c r="M803" s="92" t="str">
        <f>IFERROR(VLOOKUP(D803,'Công T5'!$C$7:$F$89,3,0),"")</f>
        <v/>
      </c>
      <c r="N803" s="92">
        <f t="shared" si="9"/>
        <v>0.3333333333</v>
      </c>
      <c r="O803" s="92">
        <f t="shared" si="2"/>
        <v>0.7083333333</v>
      </c>
      <c r="P803" s="94">
        <f t="shared" si="3"/>
        <v>0.5</v>
      </c>
      <c r="Q803" s="94">
        <f t="shared" si="4"/>
        <v>0.5</v>
      </c>
      <c r="R803" s="95">
        <f t="shared" si="5"/>
        <v>1</v>
      </c>
      <c r="S803" s="95">
        <f t="shared" si="6"/>
        <v>0</v>
      </c>
      <c r="T803" s="95">
        <f t="shared" si="7"/>
        <v>0</v>
      </c>
    </row>
    <row r="804">
      <c r="A804" s="96">
        <v>48.0</v>
      </c>
      <c r="B804" s="103">
        <v>44699.0</v>
      </c>
      <c r="C804" s="96">
        <v>10328.0</v>
      </c>
      <c r="D804" s="98" t="s">
        <v>88</v>
      </c>
      <c r="E804" s="104"/>
      <c r="F804" s="99">
        <v>0.33055555555555555</v>
      </c>
      <c r="G804" s="99">
        <v>0.71875</v>
      </c>
      <c r="H804" s="101"/>
      <c r="I804" s="92" t="str">
        <f>IFERROR(VLOOKUP(D804,'Công T5'!$C$7:$F$89,4,0),"")</f>
        <v>TV</v>
      </c>
      <c r="J804" s="92">
        <f t="shared" si="8"/>
        <v>0.3305555556</v>
      </c>
      <c r="K804" s="92">
        <f t="shared" si="10"/>
        <v>0.71875</v>
      </c>
      <c r="L804" s="92" t="str">
        <f>IFERROR(VLOOKUP(D804,'Công T5'!$C$7:$F$89,2,0),"")</f>
        <v/>
      </c>
      <c r="M804" s="92" t="str">
        <f>IFERROR(VLOOKUP(D804,'Công T5'!$C$7:$F$89,3,0),"")</f>
        <v/>
      </c>
      <c r="N804" s="92">
        <f t="shared" si="9"/>
        <v>0.3333333333</v>
      </c>
      <c r="O804" s="92">
        <f t="shared" si="2"/>
        <v>0.7083333333</v>
      </c>
      <c r="P804" s="94">
        <f t="shared" si="3"/>
        <v>0.5</v>
      </c>
      <c r="Q804" s="94">
        <f t="shared" si="4"/>
        <v>0.5</v>
      </c>
      <c r="R804" s="95">
        <f t="shared" si="5"/>
        <v>1</v>
      </c>
      <c r="S804" s="95">
        <f t="shared" si="6"/>
        <v>0</v>
      </c>
      <c r="T804" s="95">
        <f t="shared" si="7"/>
        <v>0</v>
      </c>
    </row>
    <row r="805">
      <c r="A805" s="89" t="s">
        <v>169</v>
      </c>
      <c r="B805" s="90"/>
      <c r="C805" s="90"/>
      <c r="D805" s="90"/>
      <c r="E805" s="90"/>
      <c r="F805" s="90"/>
      <c r="G805" s="90"/>
      <c r="H805" s="91"/>
      <c r="I805" s="92" t="str">
        <f>IFERROR(VLOOKUP(D805,'Công T5'!$C$7:$F$89,4,0),"")</f>
        <v/>
      </c>
      <c r="J805" s="92" t="str">
        <f t="shared" si="8"/>
        <v/>
      </c>
      <c r="K805" s="92" t="str">
        <f t="shared" si="10"/>
        <v/>
      </c>
      <c r="L805" s="92" t="str">
        <f>IFERROR(VLOOKUP(D805,'Công T5'!$C$7:$F$89,2,0),"")</f>
        <v/>
      </c>
      <c r="M805" s="92" t="str">
        <f>IFERROR(VLOOKUP(D805,'Công T5'!$C$7:$F$89,3,0),"")</f>
        <v/>
      </c>
      <c r="N805" s="92" t="str">
        <f t="shared" si="9"/>
        <v/>
      </c>
      <c r="O805" s="92" t="str">
        <f t="shared" si="2"/>
        <v/>
      </c>
      <c r="P805" s="94">
        <f t="shared" si="3"/>
        <v>0</v>
      </c>
      <c r="Q805" s="94" t="str">
        <f t="shared" si="4"/>
        <v/>
      </c>
      <c r="R805" s="95">
        <f t="shared" si="5"/>
        <v>0</v>
      </c>
      <c r="S805" s="95">
        <f t="shared" si="6"/>
        <v>0</v>
      </c>
      <c r="T805" s="95" t="str">
        <f t="shared" si="7"/>
        <v/>
      </c>
    </row>
    <row r="806">
      <c r="A806" s="96">
        <v>1.0</v>
      </c>
      <c r="B806" s="103">
        <v>44677.0</v>
      </c>
      <c r="C806" s="96">
        <v>10103.0</v>
      </c>
      <c r="D806" s="98" t="s">
        <v>63</v>
      </c>
      <c r="E806" s="98" t="s">
        <v>159</v>
      </c>
      <c r="F806" s="99">
        <v>0.33611111111111114</v>
      </c>
      <c r="G806" s="99">
        <v>0.7583333333333333</v>
      </c>
      <c r="H806" s="101"/>
      <c r="I806" s="92" t="str">
        <f>IFERROR(VLOOKUP(D806,'Công T5'!$C$7:$F$89,4,0),"")</f>
        <v>HCTH</v>
      </c>
      <c r="J806" s="92">
        <f t="shared" si="8"/>
        <v>0.3361111111</v>
      </c>
      <c r="K806" s="92">
        <f t="shared" si="10"/>
        <v>0.7583333333</v>
      </c>
      <c r="L806" s="92" t="str">
        <f>IFERROR(VLOOKUP(D806,'Công T5'!$C$7:$F$89,2,0),"")</f>
        <v/>
      </c>
      <c r="M806" s="92" t="str">
        <f>IFERROR(VLOOKUP(D806,'Công T5'!$C$7:$F$89,3,0),"")</f>
        <v/>
      </c>
      <c r="N806" s="92">
        <f t="shared" si="9"/>
        <v>0.3333333333</v>
      </c>
      <c r="O806" s="92">
        <f t="shared" si="2"/>
        <v>0.7083333333</v>
      </c>
      <c r="P806" s="94">
        <f t="shared" si="3"/>
        <v>0.5</v>
      </c>
      <c r="Q806" s="94">
        <f t="shared" si="4"/>
        <v>0.5</v>
      </c>
      <c r="R806" s="95">
        <f t="shared" si="5"/>
        <v>1</v>
      </c>
      <c r="S806" s="95">
        <f t="shared" si="6"/>
        <v>1</v>
      </c>
      <c r="T806" s="95">
        <f t="shared" si="7"/>
        <v>0</v>
      </c>
    </row>
    <row r="807">
      <c r="A807" s="96">
        <v>2.0</v>
      </c>
      <c r="B807" s="103">
        <v>44678.0</v>
      </c>
      <c r="C807" s="96">
        <v>10103.0</v>
      </c>
      <c r="D807" s="98" t="s">
        <v>63</v>
      </c>
      <c r="E807" s="98" t="s">
        <v>159</v>
      </c>
      <c r="F807" s="99">
        <v>0.32708333333333334</v>
      </c>
      <c r="G807" s="99">
        <v>0.7513888888888889</v>
      </c>
      <c r="H807" s="101"/>
      <c r="I807" s="92" t="str">
        <f>IFERROR(VLOOKUP(D807,'Công T5'!$C$7:$F$89,4,0),"")</f>
        <v>HCTH</v>
      </c>
      <c r="J807" s="92">
        <f t="shared" si="8"/>
        <v>0.3270833333</v>
      </c>
      <c r="K807" s="92">
        <f t="shared" si="10"/>
        <v>0.7513888889</v>
      </c>
      <c r="L807" s="92" t="str">
        <f>IFERROR(VLOOKUP(D807,'Công T5'!$C$7:$F$89,2,0),"")</f>
        <v/>
      </c>
      <c r="M807" s="92" t="str">
        <f>IFERROR(VLOOKUP(D807,'Công T5'!$C$7:$F$89,3,0),"")</f>
        <v/>
      </c>
      <c r="N807" s="92">
        <f t="shared" si="9"/>
        <v>0.3333333333</v>
      </c>
      <c r="O807" s="92">
        <f t="shared" si="2"/>
        <v>0.7083333333</v>
      </c>
      <c r="P807" s="94">
        <f t="shared" si="3"/>
        <v>0.5</v>
      </c>
      <c r="Q807" s="94">
        <f t="shared" si="4"/>
        <v>0.5</v>
      </c>
      <c r="R807" s="95">
        <f t="shared" si="5"/>
        <v>1</v>
      </c>
      <c r="S807" s="95">
        <f t="shared" si="6"/>
        <v>0</v>
      </c>
      <c r="T807" s="95">
        <f t="shared" si="7"/>
        <v>0</v>
      </c>
    </row>
    <row r="808">
      <c r="A808" s="96">
        <v>3.0</v>
      </c>
      <c r="B808" s="103">
        <v>44679.0</v>
      </c>
      <c r="C808" s="96">
        <v>10103.0</v>
      </c>
      <c r="D808" s="98" t="s">
        <v>63</v>
      </c>
      <c r="E808" s="98" t="s">
        <v>159</v>
      </c>
      <c r="F808" s="99">
        <v>0.3277777777777778</v>
      </c>
      <c r="G808" s="99">
        <v>0.7243055555555555</v>
      </c>
      <c r="H808" s="101"/>
      <c r="I808" s="92" t="str">
        <f>IFERROR(VLOOKUP(D808,'Công T5'!$C$7:$F$89,4,0),"")</f>
        <v>HCTH</v>
      </c>
      <c r="J808" s="92">
        <f t="shared" si="8"/>
        <v>0.3277777778</v>
      </c>
      <c r="K808" s="92">
        <f t="shared" si="10"/>
        <v>0.7243055556</v>
      </c>
      <c r="L808" s="92" t="str">
        <f>IFERROR(VLOOKUP(D808,'Công T5'!$C$7:$F$89,2,0),"")</f>
        <v/>
      </c>
      <c r="M808" s="92" t="str">
        <f>IFERROR(VLOOKUP(D808,'Công T5'!$C$7:$F$89,3,0),"")</f>
        <v/>
      </c>
      <c r="N808" s="92">
        <f t="shared" si="9"/>
        <v>0.3333333333</v>
      </c>
      <c r="O808" s="92">
        <f t="shared" si="2"/>
        <v>0.7083333333</v>
      </c>
      <c r="P808" s="94">
        <f t="shared" si="3"/>
        <v>0.5</v>
      </c>
      <c r="Q808" s="94">
        <f t="shared" si="4"/>
        <v>0.5</v>
      </c>
      <c r="R808" s="95">
        <f t="shared" si="5"/>
        <v>1</v>
      </c>
      <c r="S808" s="95">
        <f t="shared" si="6"/>
        <v>0</v>
      </c>
      <c r="T808" s="95">
        <f t="shared" si="7"/>
        <v>0</v>
      </c>
    </row>
    <row r="809">
      <c r="A809" s="96">
        <v>4.0</v>
      </c>
      <c r="B809" s="103">
        <v>44680.0</v>
      </c>
      <c r="C809" s="96">
        <v>10103.0</v>
      </c>
      <c r="D809" s="98" t="s">
        <v>63</v>
      </c>
      <c r="E809" s="98" t="s">
        <v>159</v>
      </c>
      <c r="F809" s="99">
        <v>0.3284722222222222</v>
      </c>
      <c r="G809" s="99">
        <v>0.75625</v>
      </c>
      <c r="H809" s="101"/>
      <c r="I809" s="92" t="str">
        <f>IFERROR(VLOOKUP(D809,'Công T5'!$C$7:$F$89,4,0),"")</f>
        <v>HCTH</v>
      </c>
      <c r="J809" s="92">
        <f t="shared" si="8"/>
        <v>0.3284722222</v>
      </c>
      <c r="K809" s="92">
        <f t="shared" si="10"/>
        <v>0.75625</v>
      </c>
      <c r="L809" s="92" t="str">
        <f>IFERROR(VLOOKUP(D809,'Công T5'!$C$7:$F$89,2,0),"")</f>
        <v/>
      </c>
      <c r="M809" s="92" t="str">
        <f>IFERROR(VLOOKUP(D809,'Công T5'!$C$7:$F$89,3,0),"")</f>
        <v/>
      </c>
      <c r="N809" s="92">
        <f t="shared" si="9"/>
        <v>0.3333333333</v>
      </c>
      <c r="O809" s="92">
        <f t="shared" si="2"/>
        <v>0.7083333333</v>
      </c>
      <c r="P809" s="94">
        <f t="shared" si="3"/>
        <v>0.5</v>
      </c>
      <c r="Q809" s="94">
        <f t="shared" si="4"/>
        <v>0.5</v>
      </c>
      <c r="R809" s="95">
        <f t="shared" si="5"/>
        <v>1</v>
      </c>
      <c r="S809" s="95">
        <f t="shared" si="6"/>
        <v>0</v>
      </c>
      <c r="T809" s="95">
        <f t="shared" si="7"/>
        <v>0</v>
      </c>
    </row>
    <row r="810">
      <c r="A810" s="96">
        <v>5.0</v>
      </c>
      <c r="B810" s="103">
        <v>44685.0</v>
      </c>
      <c r="C810" s="96">
        <v>10103.0</v>
      </c>
      <c r="D810" s="98" t="s">
        <v>63</v>
      </c>
      <c r="E810" s="98" t="s">
        <v>159</v>
      </c>
      <c r="F810" s="99">
        <v>0.32708333333333334</v>
      </c>
      <c r="G810" s="99">
        <v>0.7652777777777777</v>
      </c>
      <c r="H810" s="101"/>
      <c r="I810" s="92" t="str">
        <f>IFERROR(VLOOKUP(D810,'Công T5'!$C$7:$F$89,4,0),"")</f>
        <v>HCTH</v>
      </c>
      <c r="J810" s="92">
        <f t="shared" si="8"/>
        <v>0.3270833333</v>
      </c>
      <c r="K810" s="92">
        <f t="shared" si="10"/>
        <v>0.7652777778</v>
      </c>
      <c r="L810" s="92" t="str">
        <f>IFERROR(VLOOKUP(D810,'Công T5'!$C$7:$F$89,2,0),"")</f>
        <v/>
      </c>
      <c r="M810" s="92" t="str">
        <f>IFERROR(VLOOKUP(D810,'Công T5'!$C$7:$F$89,3,0),"")</f>
        <v/>
      </c>
      <c r="N810" s="92">
        <f t="shared" si="9"/>
        <v>0.3333333333</v>
      </c>
      <c r="O810" s="92">
        <f t="shared" si="2"/>
        <v>0.7083333333</v>
      </c>
      <c r="P810" s="94">
        <f t="shared" si="3"/>
        <v>0.5</v>
      </c>
      <c r="Q810" s="94">
        <f t="shared" si="4"/>
        <v>0.5</v>
      </c>
      <c r="R810" s="95">
        <f t="shared" si="5"/>
        <v>1</v>
      </c>
      <c r="S810" s="95">
        <f t="shared" si="6"/>
        <v>0</v>
      </c>
      <c r="T810" s="95">
        <f t="shared" si="7"/>
        <v>0</v>
      </c>
    </row>
    <row r="811">
      <c r="A811" s="96">
        <v>6.0</v>
      </c>
      <c r="B811" s="103">
        <v>44686.0</v>
      </c>
      <c r="C811" s="96">
        <v>10103.0</v>
      </c>
      <c r="D811" s="98" t="s">
        <v>63</v>
      </c>
      <c r="E811" s="98" t="s">
        <v>159</v>
      </c>
      <c r="F811" s="99">
        <v>0.32708333333333334</v>
      </c>
      <c r="G811" s="99">
        <v>0.7381944444444445</v>
      </c>
      <c r="H811" s="101"/>
      <c r="I811" s="92" t="str">
        <f>IFERROR(VLOOKUP(D811,'Công T5'!$C$7:$F$89,4,0),"")</f>
        <v>HCTH</v>
      </c>
      <c r="J811" s="92">
        <f t="shared" si="8"/>
        <v>0.3270833333</v>
      </c>
      <c r="K811" s="92">
        <f t="shared" si="10"/>
        <v>0.7381944444</v>
      </c>
      <c r="L811" s="92" t="str">
        <f>IFERROR(VLOOKUP(D811,'Công T5'!$C$7:$F$89,2,0),"")</f>
        <v/>
      </c>
      <c r="M811" s="92" t="str">
        <f>IFERROR(VLOOKUP(D811,'Công T5'!$C$7:$F$89,3,0),"")</f>
        <v/>
      </c>
      <c r="N811" s="92">
        <f t="shared" si="9"/>
        <v>0.3333333333</v>
      </c>
      <c r="O811" s="92">
        <f t="shared" si="2"/>
        <v>0.7083333333</v>
      </c>
      <c r="P811" s="94">
        <f t="shared" si="3"/>
        <v>0.5</v>
      </c>
      <c r="Q811" s="94">
        <f t="shared" si="4"/>
        <v>0.5</v>
      </c>
      <c r="R811" s="95">
        <f t="shared" si="5"/>
        <v>1</v>
      </c>
      <c r="S811" s="95">
        <f t="shared" si="6"/>
        <v>0</v>
      </c>
      <c r="T811" s="95">
        <f t="shared" si="7"/>
        <v>0</v>
      </c>
    </row>
    <row r="812">
      <c r="A812" s="96">
        <v>7.0</v>
      </c>
      <c r="B812" s="103">
        <v>44687.0</v>
      </c>
      <c r="C812" s="96">
        <v>10103.0</v>
      </c>
      <c r="D812" s="98" t="s">
        <v>63</v>
      </c>
      <c r="E812" s="98" t="s">
        <v>159</v>
      </c>
      <c r="F812" s="99">
        <v>0.32569444444444445</v>
      </c>
      <c r="G812" s="99">
        <v>0.7583333333333333</v>
      </c>
      <c r="H812" s="101"/>
      <c r="I812" s="92" t="str">
        <f>IFERROR(VLOOKUP(D812,'Công T5'!$C$7:$F$89,4,0),"")</f>
        <v>HCTH</v>
      </c>
      <c r="J812" s="92">
        <f t="shared" si="8"/>
        <v>0.3256944444</v>
      </c>
      <c r="K812" s="92">
        <f t="shared" si="10"/>
        <v>0.7583333333</v>
      </c>
      <c r="L812" s="92" t="str">
        <f>IFERROR(VLOOKUP(D812,'Công T5'!$C$7:$F$89,2,0),"")</f>
        <v/>
      </c>
      <c r="M812" s="92" t="str">
        <f>IFERROR(VLOOKUP(D812,'Công T5'!$C$7:$F$89,3,0),"")</f>
        <v/>
      </c>
      <c r="N812" s="92">
        <f t="shared" si="9"/>
        <v>0.3333333333</v>
      </c>
      <c r="O812" s="92">
        <f t="shared" si="2"/>
        <v>0.7083333333</v>
      </c>
      <c r="P812" s="94">
        <f t="shared" si="3"/>
        <v>0.5</v>
      </c>
      <c r="Q812" s="94">
        <f t="shared" si="4"/>
        <v>0.5</v>
      </c>
      <c r="R812" s="95">
        <f t="shared" si="5"/>
        <v>1</v>
      </c>
      <c r="S812" s="95">
        <f t="shared" si="6"/>
        <v>0</v>
      </c>
      <c r="T812" s="95">
        <f t="shared" si="7"/>
        <v>0</v>
      </c>
    </row>
    <row r="813">
      <c r="A813" s="96">
        <v>8.0</v>
      </c>
      <c r="B813" s="103">
        <v>44688.0</v>
      </c>
      <c r="C813" s="96">
        <v>10103.0</v>
      </c>
      <c r="D813" s="98" t="s">
        <v>63</v>
      </c>
      <c r="E813" s="98" t="s">
        <v>159</v>
      </c>
      <c r="F813" s="99">
        <v>0.3298611111111111</v>
      </c>
      <c r="G813" s="99">
        <v>0.7423611111111111</v>
      </c>
      <c r="H813" s="101"/>
      <c r="I813" s="92" t="str">
        <f>IFERROR(VLOOKUP(D813,'Công T5'!$C$7:$F$89,4,0),"")</f>
        <v>HCTH</v>
      </c>
      <c r="J813" s="92">
        <f t="shared" si="8"/>
        <v>0.3298611111</v>
      </c>
      <c r="K813" s="92">
        <f t="shared" si="10"/>
        <v>0.7423611111</v>
      </c>
      <c r="L813" s="92" t="str">
        <f>IFERROR(VLOOKUP(D813,'Công T5'!$C$7:$F$89,2,0),"")</f>
        <v/>
      </c>
      <c r="M813" s="92" t="str">
        <f>IFERROR(VLOOKUP(D813,'Công T5'!$C$7:$F$89,3,0),"")</f>
        <v/>
      </c>
      <c r="N813" s="92">
        <f t="shared" si="9"/>
        <v>0.3333333333</v>
      </c>
      <c r="O813" s="92">
        <f t="shared" si="2"/>
        <v>0.7083333333</v>
      </c>
      <c r="P813" s="94">
        <f t="shared" si="3"/>
        <v>0.5</v>
      </c>
      <c r="Q813" s="94">
        <f t="shared" si="4"/>
        <v>0.5</v>
      </c>
      <c r="R813" s="95">
        <f t="shared" si="5"/>
        <v>1</v>
      </c>
      <c r="S813" s="95">
        <f t="shared" si="6"/>
        <v>0</v>
      </c>
      <c r="T813" s="95">
        <f t="shared" si="7"/>
        <v>0</v>
      </c>
    </row>
    <row r="814">
      <c r="A814" s="96">
        <v>9.0</v>
      </c>
      <c r="B814" s="103">
        <v>44690.0</v>
      </c>
      <c r="C814" s="96">
        <v>10103.0</v>
      </c>
      <c r="D814" s="98" t="s">
        <v>63</v>
      </c>
      <c r="E814" s="98" t="s">
        <v>159</v>
      </c>
      <c r="F814" s="99">
        <v>0.3326388888888889</v>
      </c>
      <c r="G814" s="99">
        <v>0.7347222222222223</v>
      </c>
      <c r="H814" s="101"/>
      <c r="I814" s="92" t="str">
        <f>IFERROR(VLOOKUP(D814,'Công T5'!$C$7:$F$89,4,0),"")</f>
        <v>HCTH</v>
      </c>
      <c r="J814" s="92">
        <f t="shared" si="8"/>
        <v>0.3326388889</v>
      </c>
      <c r="K814" s="92">
        <f t="shared" si="10"/>
        <v>0.7347222222</v>
      </c>
      <c r="L814" s="92" t="str">
        <f>IFERROR(VLOOKUP(D814,'Công T5'!$C$7:$F$89,2,0),"")</f>
        <v/>
      </c>
      <c r="M814" s="92" t="str">
        <f>IFERROR(VLOOKUP(D814,'Công T5'!$C$7:$F$89,3,0),"")</f>
        <v/>
      </c>
      <c r="N814" s="92">
        <f t="shared" si="9"/>
        <v>0.3333333333</v>
      </c>
      <c r="O814" s="92">
        <f t="shared" si="2"/>
        <v>0.7083333333</v>
      </c>
      <c r="P814" s="94">
        <f t="shared" si="3"/>
        <v>0.5</v>
      </c>
      <c r="Q814" s="94">
        <f t="shared" si="4"/>
        <v>0.5</v>
      </c>
      <c r="R814" s="95">
        <f t="shared" si="5"/>
        <v>1</v>
      </c>
      <c r="S814" s="95">
        <f t="shared" si="6"/>
        <v>0</v>
      </c>
      <c r="T814" s="95">
        <f t="shared" si="7"/>
        <v>0</v>
      </c>
    </row>
    <row r="815">
      <c r="A815" s="96">
        <v>10.0</v>
      </c>
      <c r="B815" s="103">
        <v>44691.0</v>
      </c>
      <c r="C815" s="96">
        <v>10103.0</v>
      </c>
      <c r="D815" s="98" t="s">
        <v>63</v>
      </c>
      <c r="E815" s="98" t="s">
        <v>159</v>
      </c>
      <c r="F815" s="99">
        <v>0.33125</v>
      </c>
      <c r="G815" s="99">
        <v>0.7305555555555555</v>
      </c>
      <c r="H815" s="101"/>
      <c r="I815" s="92" t="str">
        <f>IFERROR(VLOOKUP(D815,'Công T5'!$C$7:$F$89,4,0),"")</f>
        <v>HCTH</v>
      </c>
      <c r="J815" s="92">
        <f t="shared" si="8"/>
        <v>0.33125</v>
      </c>
      <c r="K815" s="92">
        <f t="shared" si="10"/>
        <v>0.7305555556</v>
      </c>
      <c r="L815" s="92" t="str">
        <f>IFERROR(VLOOKUP(D815,'Công T5'!$C$7:$F$89,2,0),"")</f>
        <v/>
      </c>
      <c r="M815" s="92" t="str">
        <f>IFERROR(VLOOKUP(D815,'Công T5'!$C$7:$F$89,3,0),"")</f>
        <v/>
      </c>
      <c r="N815" s="92">
        <f t="shared" si="9"/>
        <v>0.3333333333</v>
      </c>
      <c r="O815" s="92">
        <f t="shared" si="2"/>
        <v>0.7083333333</v>
      </c>
      <c r="P815" s="94">
        <f t="shared" si="3"/>
        <v>0.5</v>
      </c>
      <c r="Q815" s="94">
        <f t="shared" si="4"/>
        <v>0.5</v>
      </c>
      <c r="R815" s="95">
        <f t="shared" si="5"/>
        <v>1</v>
      </c>
      <c r="S815" s="95">
        <f t="shared" si="6"/>
        <v>0</v>
      </c>
      <c r="T815" s="95">
        <f t="shared" si="7"/>
        <v>0</v>
      </c>
    </row>
    <row r="816">
      <c r="A816" s="96">
        <v>11.0</v>
      </c>
      <c r="B816" s="103">
        <v>44692.0</v>
      </c>
      <c r="C816" s="96">
        <v>10103.0</v>
      </c>
      <c r="D816" s="98" t="s">
        <v>63</v>
      </c>
      <c r="E816" s="98" t="s">
        <v>159</v>
      </c>
      <c r="F816" s="99">
        <v>0.3284722222222222</v>
      </c>
      <c r="G816" s="99">
        <v>0.7444444444444445</v>
      </c>
      <c r="H816" s="101"/>
      <c r="I816" s="92" t="str">
        <f>IFERROR(VLOOKUP(D816,'Công T5'!$C$7:$F$89,4,0),"")</f>
        <v>HCTH</v>
      </c>
      <c r="J816" s="92">
        <f t="shared" si="8"/>
        <v>0.3284722222</v>
      </c>
      <c r="K816" s="92">
        <f t="shared" si="10"/>
        <v>0.7444444444</v>
      </c>
      <c r="L816" s="92" t="str">
        <f>IFERROR(VLOOKUP(D816,'Công T5'!$C$7:$F$89,2,0),"")</f>
        <v/>
      </c>
      <c r="M816" s="92" t="str">
        <f>IFERROR(VLOOKUP(D816,'Công T5'!$C$7:$F$89,3,0),"")</f>
        <v/>
      </c>
      <c r="N816" s="92">
        <f t="shared" si="9"/>
        <v>0.3333333333</v>
      </c>
      <c r="O816" s="92">
        <f t="shared" si="2"/>
        <v>0.7083333333</v>
      </c>
      <c r="P816" s="94">
        <f t="shared" si="3"/>
        <v>0.5</v>
      </c>
      <c r="Q816" s="94">
        <f t="shared" si="4"/>
        <v>0.5</v>
      </c>
      <c r="R816" s="95">
        <f t="shared" si="5"/>
        <v>1</v>
      </c>
      <c r="S816" s="95">
        <f t="shared" si="6"/>
        <v>0</v>
      </c>
      <c r="T816" s="95">
        <f t="shared" si="7"/>
        <v>0</v>
      </c>
    </row>
    <row r="817">
      <c r="A817" s="96">
        <v>12.0</v>
      </c>
      <c r="B817" s="103">
        <v>44693.0</v>
      </c>
      <c r="C817" s="96">
        <v>10103.0</v>
      </c>
      <c r="D817" s="98" t="s">
        <v>63</v>
      </c>
      <c r="E817" s="98" t="s">
        <v>159</v>
      </c>
      <c r="F817" s="99">
        <v>0.3284722222222222</v>
      </c>
      <c r="G817" s="99">
        <v>0.7152777777777778</v>
      </c>
      <c r="H817" s="101"/>
      <c r="I817" s="92" t="str">
        <f>IFERROR(VLOOKUP(D817,'Công T5'!$C$7:$F$89,4,0),"")</f>
        <v>HCTH</v>
      </c>
      <c r="J817" s="92">
        <f t="shared" si="8"/>
        <v>0.3284722222</v>
      </c>
      <c r="K817" s="92">
        <f t="shared" si="10"/>
        <v>0.7152777778</v>
      </c>
      <c r="L817" s="92" t="str">
        <f>IFERROR(VLOOKUP(D817,'Công T5'!$C$7:$F$89,2,0),"")</f>
        <v/>
      </c>
      <c r="M817" s="92" t="str">
        <f>IFERROR(VLOOKUP(D817,'Công T5'!$C$7:$F$89,3,0),"")</f>
        <v/>
      </c>
      <c r="N817" s="92">
        <f t="shared" si="9"/>
        <v>0.3333333333</v>
      </c>
      <c r="O817" s="92">
        <f t="shared" si="2"/>
        <v>0.7083333333</v>
      </c>
      <c r="P817" s="94">
        <f t="shared" si="3"/>
        <v>0.5</v>
      </c>
      <c r="Q817" s="94">
        <f t="shared" si="4"/>
        <v>0.5</v>
      </c>
      <c r="R817" s="95">
        <f t="shared" si="5"/>
        <v>1</v>
      </c>
      <c r="S817" s="95">
        <f t="shared" si="6"/>
        <v>0</v>
      </c>
      <c r="T817" s="95">
        <f t="shared" si="7"/>
        <v>0</v>
      </c>
    </row>
    <row r="818">
      <c r="A818" s="96">
        <v>13.0</v>
      </c>
      <c r="B818" s="103">
        <v>44694.0</v>
      </c>
      <c r="C818" s="96">
        <v>10103.0</v>
      </c>
      <c r="D818" s="98" t="s">
        <v>63</v>
      </c>
      <c r="E818" s="98" t="s">
        <v>159</v>
      </c>
      <c r="F818" s="99">
        <v>0.33055555555555555</v>
      </c>
      <c r="G818" s="99">
        <v>0.7229166666666667</v>
      </c>
      <c r="H818" s="101"/>
      <c r="I818" s="92" t="str">
        <f>IFERROR(VLOOKUP(D818,'Công T5'!$C$7:$F$89,4,0),"")</f>
        <v>HCTH</v>
      </c>
      <c r="J818" s="92">
        <f t="shared" si="8"/>
        <v>0.3305555556</v>
      </c>
      <c r="K818" s="92">
        <f t="shared" si="10"/>
        <v>0.7229166667</v>
      </c>
      <c r="L818" s="92" t="str">
        <f>IFERROR(VLOOKUP(D818,'Công T5'!$C$7:$F$89,2,0),"")</f>
        <v/>
      </c>
      <c r="M818" s="92" t="str">
        <f>IFERROR(VLOOKUP(D818,'Công T5'!$C$7:$F$89,3,0),"")</f>
        <v/>
      </c>
      <c r="N818" s="92">
        <f t="shared" si="9"/>
        <v>0.3333333333</v>
      </c>
      <c r="O818" s="92">
        <f t="shared" si="2"/>
        <v>0.7083333333</v>
      </c>
      <c r="P818" s="94">
        <f t="shared" si="3"/>
        <v>0.5</v>
      </c>
      <c r="Q818" s="94">
        <f t="shared" si="4"/>
        <v>0.5</v>
      </c>
      <c r="R818" s="95">
        <f t="shared" si="5"/>
        <v>1</v>
      </c>
      <c r="S818" s="95">
        <f t="shared" si="6"/>
        <v>0</v>
      </c>
      <c r="T818" s="95">
        <f t="shared" si="7"/>
        <v>0</v>
      </c>
    </row>
    <row r="819">
      <c r="A819" s="96">
        <v>14.0</v>
      </c>
      <c r="B819" s="103">
        <v>44697.0</v>
      </c>
      <c r="C819" s="96">
        <v>10103.0</v>
      </c>
      <c r="D819" s="98" t="s">
        <v>63</v>
      </c>
      <c r="E819" s="98" t="s">
        <v>159</v>
      </c>
      <c r="F819" s="99">
        <v>0.33194444444444443</v>
      </c>
      <c r="G819" s="99">
        <v>0.7263888888888889</v>
      </c>
      <c r="H819" s="101"/>
      <c r="I819" s="92" t="str">
        <f>IFERROR(VLOOKUP(D819,'Công T5'!$C$7:$F$89,4,0),"")</f>
        <v>HCTH</v>
      </c>
      <c r="J819" s="92">
        <f t="shared" si="8"/>
        <v>0.3319444444</v>
      </c>
      <c r="K819" s="92">
        <f t="shared" si="10"/>
        <v>0.7263888889</v>
      </c>
      <c r="L819" s="92" t="str">
        <f>IFERROR(VLOOKUP(D819,'Công T5'!$C$7:$F$89,2,0),"")</f>
        <v/>
      </c>
      <c r="M819" s="92" t="str">
        <f>IFERROR(VLOOKUP(D819,'Công T5'!$C$7:$F$89,3,0),"")</f>
        <v/>
      </c>
      <c r="N819" s="92">
        <f t="shared" si="9"/>
        <v>0.3333333333</v>
      </c>
      <c r="O819" s="92">
        <f t="shared" si="2"/>
        <v>0.7083333333</v>
      </c>
      <c r="P819" s="94">
        <f t="shared" si="3"/>
        <v>0.5</v>
      </c>
      <c r="Q819" s="94">
        <f t="shared" si="4"/>
        <v>0.5</v>
      </c>
      <c r="R819" s="95">
        <f t="shared" si="5"/>
        <v>1</v>
      </c>
      <c r="S819" s="95">
        <f t="shared" si="6"/>
        <v>0</v>
      </c>
      <c r="T819" s="95">
        <f t="shared" si="7"/>
        <v>0</v>
      </c>
    </row>
    <row r="820">
      <c r="A820" s="96">
        <v>15.0</v>
      </c>
      <c r="B820" s="103">
        <v>44698.0</v>
      </c>
      <c r="C820" s="96">
        <v>10103.0</v>
      </c>
      <c r="D820" s="98" t="s">
        <v>63</v>
      </c>
      <c r="E820" s="98" t="s">
        <v>159</v>
      </c>
      <c r="F820" s="99">
        <v>0.33194444444444443</v>
      </c>
      <c r="G820" s="99">
        <v>0.7388888888888889</v>
      </c>
      <c r="H820" s="101"/>
      <c r="I820" s="92" t="str">
        <f>IFERROR(VLOOKUP(D820,'Công T5'!$C$7:$F$89,4,0),"")</f>
        <v>HCTH</v>
      </c>
      <c r="J820" s="92">
        <f t="shared" si="8"/>
        <v>0.3319444444</v>
      </c>
      <c r="K820" s="92">
        <f t="shared" si="10"/>
        <v>0.7388888889</v>
      </c>
      <c r="L820" s="92" t="str">
        <f>IFERROR(VLOOKUP(D820,'Công T5'!$C$7:$F$89,2,0),"")</f>
        <v/>
      </c>
      <c r="M820" s="92" t="str">
        <f>IFERROR(VLOOKUP(D820,'Công T5'!$C$7:$F$89,3,0),"")</f>
        <v/>
      </c>
      <c r="N820" s="92">
        <f t="shared" si="9"/>
        <v>0.3333333333</v>
      </c>
      <c r="O820" s="92">
        <f t="shared" si="2"/>
        <v>0.7083333333</v>
      </c>
      <c r="P820" s="94">
        <f t="shared" si="3"/>
        <v>0.5</v>
      </c>
      <c r="Q820" s="94">
        <f t="shared" si="4"/>
        <v>0.5</v>
      </c>
      <c r="R820" s="95">
        <f t="shared" si="5"/>
        <v>1</v>
      </c>
      <c r="S820" s="95">
        <f t="shared" si="6"/>
        <v>0</v>
      </c>
      <c r="T820" s="95">
        <f t="shared" si="7"/>
        <v>0</v>
      </c>
    </row>
    <row r="821">
      <c r="A821" s="96">
        <v>16.0</v>
      </c>
      <c r="B821" s="103">
        <v>44699.0</v>
      </c>
      <c r="C821" s="96">
        <v>10103.0</v>
      </c>
      <c r="D821" s="98" t="s">
        <v>63</v>
      </c>
      <c r="E821" s="98" t="s">
        <v>159</v>
      </c>
      <c r="F821" s="99">
        <v>0.31875</v>
      </c>
      <c r="G821" s="99">
        <v>0.73125</v>
      </c>
      <c r="H821" s="101"/>
      <c r="I821" s="92" t="str">
        <f>IFERROR(VLOOKUP(D821,'Công T5'!$C$7:$F$89,4,0),"")</f>
        <v>HCTH</v>
      </c>
      <c r="J821" s="92">
        <f t="shared" si="8"/>
        <v>0.31875</v>
      </c>
      <c r="K821" s="92">
        <f t="shared" si="10"/>
        <v>0.73125</v>
      </c>
      <c r="L821" s="92" t="str">
        <f>IFERROR(VLOOKUP(D821,'Công T5'!$C$7:$F$89,2,0),"")</f>
        <v/>
      </c>
      <c r="M821" s="92" t="str">
        <f>IFERROR(VLOOKUP(D821,'Công T5'!$C$7:$F$89,3,0),"")</f>
        <v/>
      </c>
      <c r="N821" s="92">
        <f t="shared" si="9"/>
        <v>0.3333333333</v>
      </c>
      <c r="O821" s="92">
        <f t="shared" si="2"/>
        <v>0.7083333333</v>
      </c>
      <c r="P821" s="94">
        <f t="shared" si="3"/>
        <v>0.5</v>
      </c>
      <c r="Q821" s="94">
        <f t="shared" si="4"/>
        <v>0.5</v>
      </c>
      <c r="R821" s="95">
        <f t="shared" si="5"/>
        <v>1</v>
      </c>
      <c r="S821" s="95">
        <f t="shared" si="6"/>
        <v>0</v>
      </c>
      <c r="T821" s="95">
        <f t="shared" si="7"/>
        <v>0</v>
      </c>
    </row>
    <row r="822">
      <c r="A822" s="96">
        <v>17.0</v>
      </c>
      <c r="B822" s="103">
        <v>44700.0</v>
      </c>
      <c r="C822" s="96">
        <v>10103.0</v>
      </c>
      <c r="D822" s="98" t="s">
        <v>63</v>
      </c>
      <c r="E822" s="98" t="s">
        <v>159</v>
      </c>
      <c r="F822" s="99">
        <v>0.3284722222222222</v>
      </c>
      <c r="G822" s="99">
        <v>0.7229166666666667</v>
      </c>
      <c r="H822" s="101"/>
      <c r="I822" s="92" t="str">
        <f>IFERROR(VLOOKUP(D822,'Công T5'!$C$7:$F$89,4,0),"")</f>
        <v>HCTH</v>
      </c>
      <c r="J822" s="92">
        <f t="shared" si="8"/>
        <v>0.3284722222</v>
      </c>
      <c r="K822" s="92">
        <f t="shared" si="10"/>
        <v>0.7229166667</v>
      </c>
      <c r="L822" s="92" t="str">
        <f>IFERROR(VLOOKUP(D822,'Công T5'!$C$7:$F$89,2,0),"")</f>
        <v/>
      </c>
      <c r="M822" s="92" t="str">
        <f>IFERROR(VLOOKUP(D822,'Công T5'!$C$7:$F$89,3,0),"")</f>
        <v/>
      </c>
      <c r="N822" s="92">
        <f t="shared" si="9"/>
        <v>0.3333333333</v>
      </c>
      <c r="O822" s="92">
        <f t="shared" si="2"/>
        <v>0.7083333333</v>
      </c>
      <c r="P822" s="94">
        <f t="shared" si="3"/>
        <v>0.5</v>
      </c>
      <c r="Q822" s="94">
        <f t="shared" si="4"/>
        <v>0.5</v>
      </c>
      <c r="R822" s="95">
        <f t="shared" si="5"/>
        <v>1</v>
      </c>
      <c r="S822" s="95">
        <f t="shared" si="6"/>
        <v>0</v>
      </c>
      <c r="T822" s="95">
        <f t="shared" si="7"/>
        <v>0</v>
      </c>
    </row>
    <row r="823">
      <c r="A823" s="96">
        <v>18.0</v>
      </c>
      <c r="B823" s="103">
        <v>44701.0</v>
      </c>
      <c r="C823" s="96">
        <v>10103.0</v>
      </c>
      <c r="D823" s="98" t="s">
        <v>63</v>
      </c>
      <c r="E823" s="98" t="s">
        <v>159</v>
      </c>
      <c r="F823" s="99">
        <v>0.33125</v>
      </c>
      <c r="G823" s="99">
        <v>0.6805555555555556</v>
      </c>
      <c r="H823" s="101"/>
      <c r="I823" s="92" t="str">
        <f>IFERROR(VLOOKUP(D823,'Công T5'!$C$7:$F$89,4,0),"")</f>
        <v>HCTH</v>
      </c>
      <c r="J823" s="92">
        <f t="shared" si="8"/>
        <v>0.33125</v>
      </c>
      <c r="K823" s="92">
        <f t="shared" si="10"/>
        <v>0.6805555556</v>
      </c>
      <c r="L823" s="92" t="str">
        <f>IFERROR(VLOOKUP(D823,'Công T5'!$C$7:$F$89,2,0),"")</f>
        <v/>
      </c>
      <c r="M823" s="92" t="str">
        <f>IFERROR(VLOOKUP(D823,'Công T5'!$C$7:$F$89,3,0),"")</f>
        <v/>
      </c>
      <c r="N823" s="92">
        <f t="shared" si="9"/>
        <v>0.3333333333</v>
      </c>
      <c r="O823" s="92">
        <f t="shared" si="2"/>
        <v>0.6805555556</v>
      </c>
      <c r="P823" s="94">
        <f t="shared" si="3"/>
        <v>0.5</v>
      </c>
      <c r="Q823" s="94">
        <f t="shared" si="4"/>
        <v>0.4166666667</v>
      </c>
      <c r="R823" s="95">
        <f t="shared" si="5"/>
        <v>0.9166666667</v>
      </c>
      <c r="S823" s="95">
        <f t="shared" si="6"/>
        <v>0</v>
      </c>
      <c r="T823" s="95">
        <f t="shared" si="7"/>
        <v>0</v>
      </c>
    </row>
    <row r="824">
      <c r="A824" s="96">
        <v>19.0</v>
      </c>
      <c r="B824" s="103">
        <v>44702.0</v>
      </c>
      <c r="C824" s="96">
        <v>10103.0</v>
      </c>
      <c r="D824" s="98" t="s">
        <v>63</v>
      </c>
      <c r="E824" s="98" t="s">
        <v>159</v>
      </c>
      <c r="F824" s="99">
        <v>0.38819444444444445</v>
      </c>
      <c r="G824" s="99">
        <v>0.6340277777777777</v>
      </c>
      <c r="H824" s="101"/>
      <c r="I824" s="92" t="str">
        <f>IFERROR(VLOOKUP(D824,'Công T5'!$C$7:$F$89,4,0),"")</f>
        <v>HCTH</v>
      </c>
      <c r="J824" s="92">
        <f t="shared" si="8"/>
        <v>0.3881944444</v>
      </c>
      <c r="K824" s="92">
        <f t="shared" si="10"/>
        <v>0.6340277778</v>
      </c>
      <c r="L824" s="92" t="str">
        <f>IFERROR(VLOOKUP(D824,'Công T5'!$C$7:$F$89,2,0),"")</f>
        <v/>
      </c>
      <c r="M824" s="92" t="str">
        <f>IFERROR(VLOOKUP(D824,'Công T5'!$C$7:$F$89,3,0),"")</f>
        <v/>
      </c>
      <c r="N824" s="92">
        <f t="shared" si="9"/>
        <v>0.3881944444</v>
      </c>
      <c r="O824" s="92">
        <f t="shared" si="2"/>
        <v>0.6340277778</v>
      </c>
      <c r="P824" s="94">
        <f t="shared" si="3"/>
        <v>0.3354166667</v>
      </c>
      <c r="Q824" s="94">
        <f t="shared" si="4"/>
        <v>0.2770833333</v>
      </c>
      <c r="R824" s="95">
        <f t="shared" si="5"/>
        <v>0.6125</v>
      </c>
      <c r="S824" s="95">
        <f t="shared" si="6"/>
        <v>1</v>
      </c>
      <c r="T824" s="95">
        <f t="shared" si="7"/>
        <v>0</v>
      </c>
    </row>
    <row r="825">
      <c r="A825" s="96">
        <v>20.0</v>
      </c>
      <c r="B825" s="103">
        <v>44704.0</v>
      </c>
      <c r="C825" s="96">
        <v>10103.0</v>
      </c>
      <c r="D825" s="98" t="s">
        <v>63</v>
      </c>
      <c r="E825" s="98" t="s">
        <v>159</v>
      </c>
      <c r="F825" s="99">
        <v>0.3284722222222222</v>
      </c>
      <c r="G825" s="99">
        <v>0.7520833333333333</v>
      </c>
      <c r="H825" s="101"/>
      <c r="I825" s="92" t="str">
        <f>IFERROR(VLOOKUP(D825,'Công T5'!$C$7:$F$89,4,0),"")</f>
        <v>HCTH</v>
      </c>
      <c r="J825" s="92">
        <f t="shared" si="8"/>
        <v>0.3284722222</v>
      </c>
      <c r="K825" s="92">
        <f t="shared" si="10"/>
        <v>0.7520833333</v>
      </c>
      <c r="L825" s="92" t="str">
        <f>IFERROR(VLOOKUP(D825,'Công T5'!$C$7:$F$89,2,0),"")</f>
        <v/>
      </c>
      <c r="M825" s="92" t="str">
        <f>IFERROR(VLOOKUP(D825,'Công T5'!$C$7:$F$89,3,0),"")</f>
        <v/>
      </c>
      <c r="N825" s="92">
        <f t="shared" si="9"/>
        <v>0.3333333333</v>
      </c>
      <c r="O825" s="92">
        <f t="shared" si="2"/>
        <v>0.7083333333</v>
      </c>
      <c r="P825" s="94">
        <f t="shared" si="3"/>
        <v>0.5</v>
      </c>
      <c r="Q825" s="94">
        <f t="shared" si="4"/>
        <v>0.5</v>
      </c>
      <c r="R825" s="95">
        <f t="shared" si="5"/>
        <v>1</v>
      </c>
      <c r="S825" s="95">
        <f t="shared" si="6"/>
        <v>0</v>
      </c>
      <c r="T825" s="95">
        <f t="shared" si="7"/>
        <v>0</v>
      </c>
    </row>
    <row r="826">
      <c r="A826" s="96">
        <v>21.0</v>
      </c>
      <c r="B826" s="103">
        <v>44705.0</v>
      </c>
      <c r="C826" s="96">
        <v>10103.0</v>
      </c>
      <c r="D826" s="98" t="s">
        <v>63</v>
      </c>
      <c r="E826" s="98" t="s">
        <v>159</v>
      </c>
      <c r="F826" s="99">
        <v>0.3333333333333333</v>
      </c>
      <c r="G826" s="99">
        <v>0.7263888888888889</v>
      </c>
      <c r="H826" s="101"/>
      <c r="I826" s="92" t="str">
        <f>IFERROR(VLOOKUP(D826,'Công T5'!$C$7:$F$89,4,0),"")</f>
        <v>HCTH</v>
      </c>
      <c r="J826" s="92">
        <f t="shared" si="8"/>
        <v>0.3333333333</v>
      </c>
      <c r="K826" s="92">
        <f t="shared" si="10"/>
        <v>0.7263888889</v>
      </c>
      <c r="L826" s="92" t="str">
        <f>IFERROR(VLOOKUP(D826,'Công T5'!$C$7:$F$89,2,0),"")</f>
        <v/>
      </c>
      <c r="M826" s="92" t="str">
        <f>IFERROR(VLOOKUP(D826,'Công T5'!$C$7:$F$89,3,0),"")</f>
        <v/>
      </c>
      <c r="N826" s="92">
        <f t="shared" si="9"/>
        <v>0.3333333333</v>
      </c>
      <c r="O826" s="92">
        <f t="shared" si="2"/>
        <v>0.7083333333</v>
      </c>
      <c r="P826" s="94">
        <f t="shared" si="3"/>
        <v>0.5</v>
      </c>
      <c r="Q826" s="94">
        <f t="shared" si="4"/>
        <v>0.5</v>
      </c>
      <c r="R826" s="95">
        <f t="shared" si="5"/>
        <v>1</v>
      </c>
      <c r="S826" s="95">
        <f t="shared" si="6"/>
        <v>0</v>
      </c>
      <c r="T826" s="95">
        <f t="shared" si="7"/>
        <v>0</v>
      </c>
    </row>
    <row r="827">
      <c r="A827" s="96">
        <v>22.0</v>
      </c>
      <c r="B827" s="103">
        <v>44706.0</v>
      </c>
      <c r="C827" s="96">
        <v>10103.0</v>
      </c>
      <c r="D827" s="98" t="s">
        <v>63</v>
      </c>
      <c r="E827" s="98" t="s">
        <v>159</v>
      </c>
      <c r="F827" s="99">
        <v>0.33055555555555555</v>
      </c>
      <c r="G827" s="99">
        <v>0.7333333333333333</v>
      </c>
      <c r="H827" s="101"/>
      <c r="I827" s="92" t="str">
        <f>IFERROR(VLOOKUP(D827,'Công T5'!$C$7:$F$89,4,0),"")</f>
        <v>HCTH</v>
      </c>
      <c r="J827" s="92">
        <f t="shared" si="8"/>
        <v>0.3305555556</v>
      </c>
      <c r="K827" s="92">
        <f t="shared" si="10"/>
        <v>0.7333333333</v>
      </c>
      <c r="L827" s="92" t="str">
        <f>IFERROR(VLOOKUP(D827,'Công T5'!$C$7:$F$89,2,0),"")</f>
        <v/>
      </c>
      <c r="M827" s="92" t="str">
        <f>IFERROR(VLOOKUP(D827,'Công T5'!$C$7:$F$89,3,0),"")</f>
        <v/>
      </c>
      <c r="N827" s="92">
        <f t="shared" si="9"/>
        <v>0.3333333333</v>
      </c>
      <c r="O827" s="92">
        <f t="shared" si="2"/>
        <v>0.7083333333</v>
      </c>
      <c r="P827" s="94">
        <f t="shared" si="3"/>
        <v>0.5</v>
      </c>
      <c r="Q827" s="94">
        <f t="shared" si="4"/>
        <v>0.5</v>
      </c>
      <c r="R827" s="95">
        <f t="shared" si="5"/>
        <v>1</v>
      </c>
      <c r="S827" s="95">
        <f t="shared" si="6"/>
        <v>0</v>
      </c>
      <c r="T827" s="95">
        <f t="shared" si="7"/>
        <v>0</v>
      </c>
    </row>
    <row r="828">
      <c r="A828" s="96">
        <v>23.0</v>
      </c>
      <c r="B828" s="103">
        <v>44678.0</v>
      </c>
      <c r="C828" s="96">
        <v>10398.0</v>
      </c>
      <c r="D828" s="98" t="s">
        <v>65</v>
      </c>
      <c r="E828" s="104"/>
      <c r="F828" s="99">
        <v>0.3402777777777778</v>
      </c>
      <c r="G828" s="102"/>
      <c r="H828" s="101"/>
      <c r="I828" s="92" t="str">
        <f>IFERROR(VLOOKUP(D828,'Công T5'!$C$7:$F$89,4,0),"")</f>
        <v>HCTH</v>
      </c>
      <c r="J828" s="92">
        <f t="shared" si="8"/>
        <v>0.3402777778</v>
      </c>
      <c r="K828" s="92" t="str">
        <f t="shared" si="10"/>
        <v/>
      </c>
      <c r="L828" s="92" t="str">
        <f>IFERROR(VLOOKUP(D828,'Công T5'!$C$7:$F$89,2,0),"")</f>
        <v/>
      </c>
      <c r="M828" s="92" t="str">
        <f>IFERROR(VLOOKUP(D828,'Công T5'!$C$7:$F$89,3,0),"")</f>
        <v/>
      </c>
      <c r="N828" s="92">
        <f t="shared" si="9"/>
        <v>0.3333333333</v>
      </c>
      <c r="O828" s="92" t="str">
        <f t="shared" si="2"/>
        <v/>
      </c>
      <c r="P828" s="94">
        <f t="shared" si="3"/>
        <v>0</v>
      </c>
      <c r="Q828" s="94" t="str">
        <f t="shared" si="4"/>
        <v/>
      </c>
      <c r="R828" s="95">
        <f t="shared" si="5"/>
        <v>0.5</v>
      </c>
      <c r="S828" s="95" t="str">
        <f t="shared" si="6"/>
        <v/>
      </c>
      <c r="T828" s="95">
        <f t="shared" si="7"/>
        <v>1</v>
      </c>
    </row>
    <row r="829">
      <c r="A829" s="96">
        <v>24.0</v>
      </c>
      <c r="B829" s="103">
        <v>44694.0</v>
      </c>
      <c r="C829" s="96">
        <v>10398.0</v>
      </c>
      <c r="D829" s="98" t="s">
        <v>65</v>
      </c>
      <c r="E829" s="104"/>
      <c r="F829" s="99">
        <v>0.33402777777777776</v>
      </c>
      <c r="G829" s="99">
        <v>0.7229166666666667</v>
      </c>
      <c r="H829" s="101"/>
      <c r="I829" s="92" t="str">
        <f>IFERROR(VLOOKUP(D829,'Công T5'!$C$7:$F$89,4,0),"")</f>
        <v>HCTH</v>
      </c>
      <c r="J829" s="92">
        <f t="shared" si="8"/>
        <v>0.3340277778</v>
      </c>
      <c r="K829" s="92">
        <f t="shared" si="10"/>
        <v>0.7229166667</v>
      </c>
      <c r="L829" s="92" t="str">
        <f>IFERROR(VLOOKUP(D829,'Công T5'!$C$7:$F$89,2,0),"")</f>
        <v/>
      </c>
      <c r="M829" s="92" t="str">
        <f>IFERROR(VLOOKUP(D829,'Công T5'!$C$7:$F$89,3,0),"")</f>
        <v/>
      </c>
      <c r="N829" s="92">
        <f t="shared" si="9"/>
        <v>0.3333333333</v>
      </c>
      <c r="O829" s="92">
        <f t="shared" si="2"/>
        <v>0.7083333333</v>
      </c>
      <c r="P829" s="94">
        <f t="shared" si="3"/>
        <v>0.5</v>
      </c>
      <c r="Q829" s="94">
        <f t="shared" si="4"/>
        <v>0.5</v>
      </c>
      <c r="R829" s="95">
        <f t="shared" si="5"/>
        <v>1</v>
      </c>
      <c r="S829" s="95">
        <f t="shared" si="6"/>
        <v>1</v>
      </c>
      <c r="T829" s="95">
        <f t="shared" si="7"/>
        <v>0</v>
      </c>
    </row>
    <row r="830">
      <c r="A830" s="96">
        <v>25.0</v>
      </c>
      <c r="B830" s="103">
        <v>44697.0</v>
      </c>
      <c r="C830" s="96">
        <v>10398.0</v>
      </c>
      <c r="D830" s="98" t="s">
        <v>65</v>
      </c>
      <c r="E830" s="104"/>
      <c r="F830" s="99">
        <v>0.33402777777777776</v>
      </c>
      <c r="G830" s="99">
        <v>0.725</v>
      </c>
      <c r="H830" s="101"/>
      <c r="I830" s="92" t="str">
        <f>IFERROR(VLOOKUP(D830,'Công T5'!$C$7:$F$89,4,0),"")</f>
        <v>HCTH</v>
      </c>
      <c r="J830" s="92">
        <f t="shared" si="8"/>
        <v>0.3340277778</v>
      </c>
      <c r="K830" s="92">
        <f t="shared" si="10"/>
        <v>0.725</v>
      </c>
      <c r="L830" s="92" t="str">
        <f>IFERROR(VLOOKUP(D830,'Công T5'!$C$7:$F$89,2,0),"")</f>
        <v/>
      </c>
      <c r="M830" s="92" t="str">
        <f>IFERROR(VLOOKUP(D830,'Công T5'!$C$7:$F$89,3,0),"")</f>
        <v/>
      </c>
      <c r="N830" s="92">
        <f t="shared" si="9"/>
        <v>0.3333333333</v>
      </c>
      <c r="O830" s="92">
        <f t="shared" si="2"/>
        <v>0.7083333333</v>
      </c>
      <c r="P830" s="94">
        <f t="shared" si="3"/>
        <v>0.5</v>
      </c>
      <c r="Q830" s="94">
        <f t="shared" si="4"/>
        <v>0.5</v>
      </c>
      <c r="R830" s="95">
        <f t="shared" si="5"/>
        <v>1</v>
      </c>
      <c r="S830" s="95">
        <f t="shared" si="6"/>
        <v>1</v>
      </c>
      <c r="T830" s="95">
        <f t="shared" si="7"/>
        <v>0</v>
      </c>
    </row>
    <row r="831">
      <c r="A831" s="96">
        <v>26.0</v>
      </c>
      <c r="B831" s="103">
        <v>44706.0</v>
      </c>
      <c r="C831" s="96">
        <v>10398.0</v>
      </c>
      <c r="D831" s="98" t="s">
        <v>65</v>
      </c>
      <c r="E831" s="104"/>
      <c r="F831" s="99">
        <v>0.33194444444444443</v>
      </c>
      <c r="G831" s="99">
        <v>0.5451388888888888</v>
      </c>
      <c r="H831" s="101"/>
      <c r="I831" s="92" t="str">
        <f>IFERROR(VLOOKUP(D831,'Công T5'!$C$7:$F$89,4,0),"")</f>
        <v>HCTH</v>
      </c>
      <c r="J831" s="92">
        <f t="shared" si="8"/>
        <v>0.3319444444</v>
      </c>
      <c r="K831" s="92">
        <f t="shared" si="10"/>
        <v>0.5451388889</v>
      </c>
      <c r="L831" s="92" t="str">
        <f>IFERROR(VLOOKUP(D831,'Công T5'!$C$7:$F$89,2,0),"")</f>
        <v/>
      </c>
      <c r="M831" s="92" t="str">
        <f>IFERROR(VLOOKUP(D831,'Công T5'!$C$7:$F$89,3,0),"")</f>
        <v/>
      </c>
      <c r="N831" s="92">
        <f t="shared" si="9"/>
        <v>0.3333333333</v>
      </c>
      <c r="O831" s="92">
        <f t="shared" si="2"/>
        <v>0.5451388889</v>
      </c>
      <c r="P831" s="94">
        <f t="shared" si="3"/>
        <v>0.5</v>
      </c>
      <c r="Q831" s="94">
        <f t="shared" si="4"/>
        <v>0.01041666667</v>
      </c>
      <c r="R831" s="95">
        <f t="shared" si="5"/>
        <v>0.5104166667</v>
      </c>
      <c r="S831" s="95">
        <f t="shared" si="6"/>
        <v>0</v>
      </c>
      <c r="T831" s="95">
        <f t="shared" si="7"/>
        <v>0</v>
      </c>
    </row>
    <row r="832">
      <c r="A832" s="96">
        <v>27.0</v>
      </c>
      <c r="B832" s="103">
        <v>44706.0</v>
      </c>
      <c r="C832" s="96">
        <v>10398.0</v>
      </c>
      <c r="D832" s="98" t="s">
        <v>65</v>
      </c>
      <c r="E832" s="104"/>
      <c r="F832" s="99">
        <v>0.7020833333333333</v>
      </c>
      <c r="G832" s="102"/>
      <c r="H832" s="101"/>
      <c r="I832" s="92" t="str">
        <f>IFERROR(VLOOKUP(D832,'Công T5'!$C$7:$F$89,4,0),"")</f>
        <v>HCTH</v>
      </c>
      <c r="J832" s="92">
        <f t="shared" si="8"/>
        <v>0.7020833333</v>
      </c>
      <c r="K832" s="92" t="str">
        <f t="shared" si="10"/>
        <v/>
      </c>
      <c r="L832" s="92" t="str">
        <f>IFERROR(VLOOKUP(D832,'Công T5'!$C$7:$F$89,2,0),"")</f>
        <v/>
      </c>
      <c r="M832" s="92" t="str">
        <f>IFERROR(VLOOKUP(D832,'Công T5'!$C$7:$F$89,3,0),"")</f>
        <v/>
      </c>
      <c r="N832" s="92">
        <f t="shared" si="9"/>
        <v>0.7020833333</v>
      </c>
      <c r="O832" s="92" t="str">
        <f t="shared" si="2"/>
        <v/>
      </c>
      <c r="P832" s="94">
        <f t="shared" si="3"/>
        <v>0</v>
      </c>
      <c r="Q832" s="94" t="str">
        <f t="shared" si="4"/>
        <v/>
      </c>
      <c r="R832" s="95">
        <f t="shared" si="5"/>
        <v>0.5</v>
      </c>
      <c r="S832" s="95" t="str">
        <f t="shared" si="6"/>
        <v/>
      </c>
      <c r="T832" s="95">
        <f t="shared" si="7"/>
        <v>1</v>
      </c>
    </row>
    <row r="833">
      <c r="A833" s="106"/>
      <c r="B833" s="107"/>
      <c r="C833" s="106"/>
      <c r="D833" s="108"/>
      <c r="E833" s="109"/>
      <c r="F833" s="110"/>
      <c r="G833" s="110"/>
      <c r="H833" s="111"/>
      <c r="I833" s="92" t="str">
        <f>IFERROR(VLOOKUP(D833,'Công T5'!$C$7:$F$89,4,0),"")</f>
        <v/>
      </c>
      <c r="J833" s="92" t="str">
        <f t="shared" si="8"/>
        <v/>
      </c>
      <c r="K833" s="92" t="str">
        <f t="shared" si="10"/>
        <v/>
      </c>
      <c r="L833" s="92" t="str">
        <f>IFERROR(VLOOKUP(D833,'Công T5'!$C$7:$F$89,2,0),"")</f>
        <v/>
      </c>
      <c r="M833" s="92" t="str">
        <f>IFERROR(VLOOKUP(D833,'Công T5'!$C$7:$F$89,3,0),"")</f>
        <v/>
      </c>
      <c r="N833" s="92" t="str">
        <f t="shared" si="9"/>
        <v/>
      </c>
      <c r="O833" s="92" t="str">
        <f t="shared" si="2"/>
        <v/>
      </c>
      <c r="P833" s="94">
        <f t="shared" si="3"/>
        <v>0</v>
      </c>
      <c r="Q833" s="94" t="str">
        <f t="shared" si="4"/>
        <v/>
      </c>
      <c r="R833" s="95">
        <f t="shared" si="5"/>
        <v>0</v>
      </c>
      <c r="S833" s="95">
        <f t="shared" si="6"/>
        <v>0</v>
      </c>
      <c r="T833" s="95" t="str">
        <f t="shared" si="7"/>
        <v/>
      </c>
    </row>
    <row r="834">
      <c r="A834" s="106"/>
      <c r="B834" s="107"/>
      <c r="C834" s="106"/>
      <c r="D834" s="108"/>
      <c r="E834" s="109"/>
      <c r="F834" s="110"/>
      <c r="G834" s="110"/>
      <c r="H834" s="111"/>
      <c r="I834" s="92" t="str">
        <f>IFERROR(VLOOKUP(D834,'Công T5'!$C$7:$F$89,4,0),"")</f>
        <v/>
      </c>
      <c r="J834" s="92" t="str">
        <f t="shared" si="8"/>
        <v/>
      </c>
      <c r="K834" s="92" t="str">
        <f t="shared" si="10"/>
        <v/>
      </c>
      <c r="L834" s="92" t="str">
        <f>IFERROR(VLOOKUP(D834,'Công T5'!$C$7:$F$89,2,0),"")</f>
        <v/>
      </c>
      <c r="M834" s="92" t="str">
        <f>IFERROR(VLOOKUP(D834,'Công T5'!$C$7:$F$89,3,0),"")</f>
        <v/>
      </c>
      <c r="N834" s="92" t="str">
        <f t="shared" si="9"/>
        <v/>
      </c>
      <c r="O834" s="92" t="str">
        <f t="shared" si="2"/>
        <v/>
      </c>
      <c r="P834" s="94">
        <f t="shared" si="3"/>
        <v>0</v>
      </c>
      <c r="Q834" s="94" t="str">
        <f t="shared" si="4"/>
        <v/>
      </c>
      <c r="R834" s="95">
        <f t="shared" si="5"/>
        <v>0</v>
      </c>
      <c r="S834" s="95">
        <f t="shared" si="6"/>
        <v>0</v>
      </c>
      <c r="T834" s="95" t="str">
        <f t="shared" si="7"/>
        <v/>
      </c>
    </row>
    <row r="835">
      <c r="A835" s="106"/>
      <c r="B835" s="107"/>
      <c r="C835" s="106"/>
      <c r="D835" s="108"/>
      <c r="E835" s="109"/>
      <c r="F835" s="110"/>
      <c r="G835" s="110"/>
      <c r="H835" s="111"/>
      <c r="I835" s="92" t="str">
        <f>IFERROR(VLOOKUP(D835,'Công T5'!$C$7:$F$89,4,0),"")</f>
        <v/>
      </c>
      <c r="J835" s="92" t="str">
        <f t="shared" si="8"/>
        <v/>
      </c>
      <c r="K835" s="92" t="str">
        <f t="shared" si="10"/>
        <v/>
      </c>
      <c r="L835" s="92" t="str">
        <f>IFERROR(VLOOKUP(D835,'Công T5'!$C$7:$F$89,2,0),"")</f>
        <v/>
      </c>
      <c r="M835" s="92" t="str">
        <f>IFERROR(VLOOKUP(D835,'Công T5'!$C$7:$F$89,3,0),"")</f>
        <v/>
      </c>
      <c r="N835" s="92" t="str">
        <f t="shared" si="9"/>
        <v/>
      </c>
      <c r="O835" s="92" t="str">
        <f t="shared" si="2"/>
        <v/>
      </c>
      <c r="P835" s="94">
        <f t="shared" si="3"/>
        <v>0</v>
      </c>
      <c r="Q835" s="94" t="str">
        <f t="shared" si="4"/>
        <v/>
      </c>
      <c r="R835" s="95">
        <f t="shared" si="5"/>
        <v>0</v>
      </c>
      <c r="S835" s="95">
        <f t="shared" si="6"/>
        <v>0</v>
      </c>
      <c r="T835" s="95" t="str">
        <f t="shared" si="7"/>
        <v/>
      </c>
    </row>
    <row r="836">
      <c r="A836" s="106"/>
      <c r="B836" s="107"/>
      <c r="C836" s="106"/>
      <c r="D836" s="108"/>
      <c r="E836" s="109"/>
      <c r="F836" s="110"/>
      <c r="G836" s="110"/>
      <c r="H836" s="111"/>
      <c r="I836" s="92" t="str">
        <f>IFERROR(VLOOKUP(D836,'Công T5'!$C$7:$F$89,4,0),"")</f>
        <v/>
      </c>
      <c r="J836" s="92" t="str">
        <f t="shared" si="8"/>
        <v/>
      </c>
      <c r="K836" s="92" t="str">
        <f t="shared" si="10"/>
        <v/>
      </c>
      <c r="L836" s="92" t="str">
        <f>IFERROR(VLOOKUP(D836,'Công T5'!$C$7:$F$89,2,0),"")</f>
        <v/>
      </c>
      <c r="M836" s="92" t="str">
        <f>IFERROR(VLOOKUP(D836,'Công T5'!$C$7:$F$89,3,0),"")</f>
        <v/>
      </c>
      <c r="N836" s="92" t="str">
        <f t="shared" si="9"/>
        <v/>
      </c>
      <c r="O836" s="92" t="str">
        <f t="shared" si="2"/>
        <v/>
      </c>
      <c r="P836" s="94">
        <f t="shared" si="3"/>
        <v>0</v>
      </c>
      <c r="Q836" s="94" t="str">
        <f t="shared" si="4"/>
        <v/>
      </c>
      <c r="R836" s="95">
        <f t="shared" si="5"/>
        <v>0</v>
      </c>
      <c r="S836" s="95">
        <f t="shared" si="6"/>
        <v>0</v>
      </c>
      <c r="T836" s="95" t="str">
        <f t="shared" si="7"/>
        <v/>
      </c>
    </row>
    <row r="837">
      <c r="A837" s="106"/>
      <c r="B837" s="107"/>
      <c r="C837" s="106"/>
      <c r="D837" s="108"/>
      <c r="E837" s="109"/>
      <c r="F837" s="110"/>
      <c r="G837" s="110"/>
      <c r="H837" s="111"/>
      <c r="I837" s="92" t="str">
        <f>IFERROR(VLOOKUP(D837,'Công T5'!$C$7:$F$89,4,0),"")</f>
        <v/>
      </c>
      <c r="J837" s="92" t="str">
        <f t="shared" si="8"/>
        <v/>
      </c>
      <c r="K837" s="92" t="str">
        <f t="shared" si="10"/>
        <v/>
      </c>
      <c r="L837" s="92" t="str">
        <f>IFERROR(VLOOKUP(D837,'Công T5'!$C$7:$F$89,2,0),"")</f>
        <v/>
      </c>
      <c r="M837" s="92" t="str">
        <f>IFERROR(VLOOKUP(D837,'Công T5'!$C$7:$F$89,3,0),"")</f>
        <v/>
      </c>
      <c r="N837" s="92" t="str">
        <f t="shared" si="9"/>
        <v/>
      </c>
      <c r="O837" s="92" t="str">
        <f t="shared" si="2"/>
        <v/>
      </c>
      <c r="P837" s="94">
        <f t="shared" si="3"/>
        <v>0</v>
      </c>
      <c r="Q837" s="94" t="str">
        <f t="shared" si="4"/>
        <v/>
      </c>
      <c r="R837" s="95">
        <f t="shared" si="5"/>
        <v>0</v>
      </c>
      <c r="S837" s="95">
        <f t="shared" si="6"/>
        <v>0</v>
      </c>
      <c r="T837" s="95" t="str">
        <f t="shared" si="7"/>
        <v/>
      </c>
    </row>
    <row r="838">
      <c r="A838" s="106"/>
      <c r="B838" s="107"/>
      <c r="C838" s="106"/>
      <c r="D838" s="108"/>
      <c r="E838" s="109"/>
      <c r="F838" s="110"/>
      <c r="G838" s="110"/>
      <c r="H838" s="111"/>
      <c r="I838" s="92" t="str">
        <f>IFERROR(VLOOKUP(D838,'Công T5'!$C$7:$F$89,4,0),"")</f>
        <v/>
      </c>
      <c r="J838" s="92" t="str">
        <f t="shared" si="8"/>
        <v/>
      </c>
      <c r="K838" s="92" t="str">
        <f t="shared" si="10"/>
        <v/>
      </c>
      <c r="L838" s="92" t="str">
        <f>IFERROR(VLOOKUP(D838,'Công T5'!$C$7:$F$89,2,0),"")</f>
        <v/>
      </c>
      <c r="M838" s="92" t="str">
        <f>IFERROR(VLOOKUP(D838,'Công T5'!$C$7:$F$89,3,0),"")</f>
        <v/>
      </c>
      <c r="N838" s="92" t="str">
        <f t="shared" si="9"/>
        <v/>
      </c>
      <c r="O838" s="92" t="str">
        <f t="shared" si="2"/>
        <v/>
      </c>
      <c r="P838" s="94">
        <f t="shared" si="3"/>
        <v>0</v>
      </c>
      <c r="Q838" s="94" t="str">
        <f t="shared" si="4"/>
        <v/>
      </c>
      <c r="R838" s="95">
        <f t="shared" si="5"/>
        <v>0</v>
      </c>
      <c r="S838" s="95">
        <f t="shared" si="6"/>
        <v>0</v>
      </c>
      <c r="T838" s="95" t="str">
        <f t="shared" si="7"/>
        <v/>
      </c>
    </row>
    <row r="839">
      <c r="A839" s="106"/>
      <c r="B839" s="107"/>
      <c r="C839" s="106"/>
      <c r="D839" s="108"/>
      <c r="E839" s="109"/>
      <c r="F839" s="110"/>
      <c r="G839" s="110"/>
      <c r="H839" s="111"/>
      <c r="I839" s="92" t="str">
        <f>IFERROR(VLOOKUP(D839,'Công T5'!$C$7:$F$89,4,0),"")</f>
        <v/>
      </c>
      <c r="J839" s="92" t="str">
        <f t="shared" si="8"/>
        <v/>
      </c>
      <c r="K839" s="92" t="str">
        <f t="shared" si="10"/>
        <v/>
      </c>
      <c r="L839" s="92" t="str">
        <f>IFERROR(VLOOKUP(D839,'Công T5'!$C$7:$F$89,2,0),"")</f>
        <v/>
      </c>
      <c r="M839" s="92" t="str">
        <f>IFERROR(VLOOKUP(D839,'Công T5'!$C$7:$F$89,3,0),"")</f>
        <v/>
      </c>
      <c r="N839" s="92" t="str">
        <f t="shared" si="9"/>
        <v/>
      </c>
      <c r="O839" s="92" t="str">
        <f t="shared" si="2"/>
        <v/>
      </c>
      <c r="P839" s="94">
        <f t="shared" si="3"/>
        <v>0</v>
      </c>
      <c r="Q839" s="94" t="str">
        <f t="shared" si="4"/>
        <v/>
      </c>
      <c r="R839" s="95">
        <f t="shared" si="5"/>
        <v>0</v>
      </c>
      <c r="S839" s="95">
        <f t="shared" si="6"/>
        <v>0</v>
      </c>
      <c r="T839" s="95" t="str">
        <f t="shared" si="7"/>
        <v/>
      </c>
    </row>
    <row r="840">
      <c r="A840" s="106"/>
      <c r="B840" s="107"/>
      <c r="C840" s="106"/>
      <c r="D840" s="108"/>
      <c r="E840" s="109"/>
      <c r="F840" s="110"/>
      <c r="G840" s="110"/>
      <c r="H840" s="111"/>
      <c r="I840" s="92" t="str">
        <f>IFERROR(VLOOKUP(D840,'Công T5'!$C$7:$F$89,4,0),"")</f>
        <v/>
      </c>
      <c r="J840" s="92" t="str">
        <f t="shared" si="8"/>
        <v/>
      </c>
      <c r="K840" s="92" t="str">
        <f t="shared" si="10"/>
        <v/>
      </c>
      <c r="L840" s="92" t="str">
        <f>IFERROR(VLOOKUP(D840,'Công T5'!$C$7:$F$89,2,0),"")</f>
        <v/>
      </c>
      <c r="M840" s="92" t="str">
        <f>IFERROR(VLOOKUP(D840,'Công T5'!$C$7:$F$89,3,0),"")</f>
        <v/>
      </c>
      <c r="N840" s="92" t="str">
        <f t="shared" si="9"/>
        <v/>
      </c>
      <c r="O840" s="92" t="str">
        <f t="shared" si="2"/>
        <v/>
      </c>
      <c r="P840" s="94">
        <f t="shared" si="3"/>
        <v>0</v>
      </c>
      <c r="Q840" s="94" t="str">
        <f t="shared" si="4"/>
        <v/>
      </c>
      <c r="R840" s="95">
        <f t="shared" si="5"/>
        <v>0</v>
      </c>
      <c r="S840" s="95">
        <f t="shared" si="6"/>
        <v>0</v>
      </c>
      <c r="T840" s="95" t="str">
        <f t="shared" si="7"/>
        <v/>
      </c>
    </row>
    <row r="841">
      <c r="A841" s="106"/>
      <c r="B841" s="107"/>
      <c r="C841" s="106"/>
      <c r="D841" s="108"/>
      <c r="E841" s="109"/>
      <c r="F841" s="110"/>
      <c r="G841" s="110"/>
      <c r="H841" s="111"/>
      <c r="I841" s="92" t="str">
        <f>IFERROR(VLOOKUP(D841,'Công T5'!$C$7:$F$89,4,0),"")</f>
        <v/>
      </c>
      <c r="J841" s="92" t="str">
        <f t="shared" si="8"/>
        <v/>
      </c>
      <c r="K841" s="92" t="str">
        <f t="shared" si="10"/>
        <v/>
      </c>
      <c r="L841" s="92" t="str">
        <f>IFERROR(VLOOKUP(D841,'Công T5'!$C$7:$F$89,2,0),"")</f>
        <v/>
      </c>
      <c r="M841" s="92" t="str">
        <f>IFERROR(VLOOKUP(D841,'Công T5'!$C$7:$F$89,3,0),"")</f>
        <v/>
      </c>
      <c r="N841" s="92" t="str">
        <f t="shared" si="9"/>
        <v/>
      </c>
      <c r="O841" s="92" t="str">
        <f t="shared" si="2"/>
        <v/>
      </c>
      <c r="P841" s="94">
        <f t="shared" si="3"/>
        <v>0</v>
      </c>
      <c r="Q841" s="94" t="str">
        <f t="shared" si="4"/>
        <v/>
      </c>
      <c r="R841" s="95">
        <f t="shared" si="5"/>
        <v>0</v>
      </c>
      <c r="S841" s="95">
        <f t="shared" si="6"/>
        <v>0</v>
      </c>
      <c r="T841" s="95" t="str">
        <f t="shared" si="7"/>
        <v/>
      </c>
    </row>
    <row r="842">
      <c r="A842" s="106"/>
      <c r="B842" s="107"/>
      <c r="C842" s="106"/>
      <c r="D842" s="108"/>
      <c r="E842" s="109"/>
      <c r="F842" s="110"/>
      <c r="G842" s="110"/>
      <c r="H842" s="111"/>
      <c r="I842" s="92" t="str">
        <f>IFERROR(VLOOKUP(D842,'Công T5'!$C$7:$F$89,4,0),"")</f>
        <v/>
      </c>
      <c r="J842" s="92" t="str">
        <f t="shared" si="8"/>
        <v/>
      </c>
      <c r="K842" s="92" t="str">
        <f t="shared" si="10"/>
        <v/>
      </c>
      <c r="L842" s="92" t="str">
        <f>IFERROR(VLOOKUP(D842,'Công T5'!$C$7:$F$89,2,0),"")</f>
        <v/>
      </c>
      <c r="M842" s="92" t="str">
        <f>IFERROR(VLOOKUP(D842,'Công T5'!$C$7:$F$89,3,0),"")</f>
        <v/>
      </c>
      <c r="N842" s="92" t="str">
        <f t="shared" si="9"/>
        <v/>
      </c>
      <c r="O842" s="92" t="str">
        <f t="shared" si="2"/>
        <v/>
      </c>
      <c r="P842" s="94">
        <f t="shared" si="3"/>
        <v>0</v>
      </c>
      <c r="Q842" s="94" t="str">
        <f t="shared" si="4"/>
        <v/>
      </c>
      <c r="R842" s="95">
        <f t="shared" si="5"/>
        <v>0</v>
      </c>
      <c r="S842" s="95">
        <f t="shared" si="6"/>
        <v>0</v>
      </c>
      <c r="T842" s="95" t="str">
        <f t="shared" si="7"/>
        <v/>
      </c>
    </row>
    <row r="843">
      <c r="A843" s="106"/>
      <c r="B843" s="107"/>
      <c r="C843" s="106"/>
      <c r="D843" s="108"/>
      <c r="E843" s="109"/>
      <c r="F843" s="110"/>
      <c r="G843" s="110"/>
      <c r="H843" s="111"/>
      <c r="I843" s="92" t="str">
        <f>IFERROR(VLOOKUP(D843,'Công T5'!$C$7:$F$89,4,0),"")</f>
        <v/>
      </c>
      <c r="J843" s="92" t="str">
        <f t="shared" si="8"/>
        <v/>
      </c>
      <c r="K843" s="92" t="str">
        <f t="shared" si="10"/>
        <v/>
      </c>
      <c r="L843" s="92" t="str">
        <f>IFERROR(VLOOKUP(D843,'Công T5'!$C$7:$F$89,2,0),"")</f>
        <v/>
      </c>
      <c r="M843" s="92" t="str">
        <f>IFERROR(VLOOKUP(D843,'Công T5'!$C$7:$F$89,3,0),"")</f>
        <v/>
      </c>
      <c r="N843" s="92" t="str">
        <f t="shared" si="9"/>
        <v/>
      </c>
      <c r="O843" s="92" t="str">
        <f t="shared" si="2"/>
        <v/>
      </c>
      <c r="P843" s="94">
        <f t="shared" si="3"/>
        <v>0</v>
      </c>
      <c r="Q843" s="94" t="str">
        <f t="shared" si="4"/>
        <v/>
      </c>
      <c r="R843" s="95">
        <f t="shared" si="5"/>
        <v>0</v>
      </c>
      <c r="S843" s="95">
        <f t="shared" si="6"/>
        <v>0</v>
      </c>
      <c r="T843" s="95" t="str">
        <f t="shared" si="7"/>
        <v/>
      </c>
    </row>
    <row r="844">
      <c r="A844" s="106"/>
      <c r="B844" s="107"/>
      <c r="C844" s="106"/>
      <c r="D844" s="108"/>
      <c r="E844" s="109"/>
      <c r="F844" s="110"/>
      <c r="G844" s="110"/>
      <c r="H844" s="111"/>
      <c r="I844" s="92" t="str">
        <f>IFERROR(VLOOKUP(D844,'Công T5'!$C$7:$F$89,4,0),"")</f>
        <v/>
      </c>
      <c r="J844" s="92" t="str">
        <f t="shared" si="8"/>
        <v/>
      </c>
      <c r="K844" s="92" t="str">
        <f t="shared" si="10"/>
        <v/>
      </c>
      <c r="L844" s="92" t="str">
        <f>IFERROR(VLOOKUP(D844,'Công T5'!$C$7:$F$89,2,0),"")</f>
        <v/>
      </c>
      <c r="M844" s="92" t="str">
        <f>IFERROR(VLOOKUP(D844,'Công T5'!$C$7:$F$89,3,0),"")</f>
        <v/>
      </c>
      <c r="N844" s="92" t="str">
        <f t="shared" si="9"/>
        <v/>
      </c>
      <c r="O844" s="92" t="str">
        <f t="shared" si="2"/>
        <v/>
      </c>
      <c r="P844" s="94">
        <f t="shared" si="3"/>
        <v>0</v>
      </c>
      <c r="Q844" s="94" t="str">
        <f t="shared" si="4"/>
        <v/>
      </c>
      <c r="R844" s="95">
        <f t="shared" si="5"/>
        <v>0</v>
      </c>
      <c r="S844" s="95">
        <f t="shared" si="6"/>
        <v>0</v>
      </c>
      <c r="T844" s="95" t="str">
        <f t="shared" si="7"/>
        <v/>
      </c>
    </row>
    <row r="845">
      <c r="A845" s="106"/>
      <c r="B845" s="107"/>
      <c r="C845" s="106"/>
      <c r="D845" s="108"/>
      <c r="E845" s="109"/>
      <c r="F845" s="110"/>
      <c r="G845" s="110"/>
      <c r="H845" s="111"/>
      <c r="I845" s="92" t="str">
        <f>IFERROR(VLOOKUP(D845,'Công T5'!$C$7:$F$89,4,0),"")</f>
        <v/>
      </c>
      <c r="J845" s="92" t="str">
        <f t="shared" si="8"/>
        <v/>
      </c>
      <c r="K845" s="92" t="str">
        <f t="shared" si="10"/>
        <v/>
      </c>
      <c r="L845" s="92" t="str">
        <f>IFERROR(VLOOKUP(D845,'Công T5'!$C$7:$F$89,2,0),"")</f>
        <v/>
      </c>
      <c r="M845" s="92" t="str">
        <f>IFERROR(VLOOKUP(D845,'Công T5'!$C$7:$F$89,3,0),"")</f>
        <v/>
      </c>
      <c r="N845" s="92" t="str">
        <f t="shared" si="9"/>
        <v/>
      </c>
      <c r="O845" s="92" t="str">
        <f t="shared" si="2"/>
        <v/>
      </c>
      <c r="P845" s="94">
        <f t="shared" si="3"/>
        <v>0</v>
      </c>
      <c r="Q845" s="94" t="str">
        <f t="shared" si="4"/>
        <v/>
      </c>
      <c r="R845" s="95">
        <f t="shared" si="5"/>
        <v>0</v>
      </c>
      <c r="S845" s="95">
        <f t="shared" si="6"/>
        <v>0</v>
      </c>
      <c r="T845" s="95" t="str">
        <f t="shared" si="7"/>
        <v/>
      </c>
    </row>
    <row r="846">
      <c r="A846" s="106"/>
      <c r="B846" s="107"/>
      <c r="C846" s="106"/>
      <c r="D846" s="108"/>
      <c r="E846" s="109"/>
      <c r="F846" s="110"/>
      <c r="G846" s="110"/>
      <c r="H846" s="111"/>
      <c r="I846" s="92" t="str">
        <f>IFERROR(VLOOKUP(D846,'Công T5'!$C$7:$F$89,4,0),"")</f>
        <v/>
      </c>
      <c r="J846" s="92" t="str">
        <f t="shared" si="8"/>
        <v/>
      </c>
      <c r="K846" s="92" t="str">
        <f t="shared" si="10"/>
        <v/>
      </c>
      <c r="L846" s="92" t="str">
        <f>IFERROR(VLOOKUP(D846,'Công T5'!$C$7:$F$89,2,0),"")</f>
        <v/>
      </c>
      <c r="M846" s="92" t="str">
        <f>IFERROR(VLOOKUP(D846,'Công T5'!$C$7:$F$89,3,0),"")</f>
        <v/>
      </c>
      <c r="N846" s="92" t="str">
        <f t="shared" si="9"/>
        <v/>
      </c>
      <c r="O846" s="92" t="str">
        <f t="shared" si="2"/>
        <v/>
      </c>
      <c r="P846" s="94">
        <f t="shared" si="3"/>
        <v>0</v>
      </c>
      <c r="Q846" s="94" t="str">
        <f t="shared" si="4"/>
        <v/>
      </c>
      <c r="R846" s="95">
        <f t="shared" si="5"/>
        <v>0</v>
      </c>
      <c r="S846" s="95">
        <f t="shared" si="6"/>
        <v>0</v>
      </c>
      <c r="T846" s="95" t="str">
        <f t="shared" si="7"/>
        <v/>
      </c>
    </row>
    <row r="847">
      <c r="A847" s="106"/>
      <c r="B847" s="107"/>
      <c r="C847" s="106"/>
      <c r="D847" s="108"/>
      <c r="E847" s="109"/>
      <c r="F847" s="110"/>
      <c r="G847" s="110"/>
      <c r="H847" s="111"/>
      <c r="I847" s="92" t="str">
        <f>IFERROR(VLOOKUP(D847,'Công T5'!$C$7:$F$89,4,0),"")</f>
        <v/>
      </c>
      <c r="J847" s="92" t="str">
        <f t="shared" si="8"/>
        <v/>
      </c>
      <c r="K847" s="92" t="str">
        <f t="shared" si="10"/>
        <v/>
      </c>
      <c r="L847" s="92" t="str">
        <f>IFERROR(VLOOKUP(D847,'Công T5'!$C$7:$F$89,2,0),"")</f>
        <v/>
      </c>
      <c r="M847" s="92" t="str">
        <f>IFERROR(VLOOKUP(D847,'Công T5'!$C$7:$F$89,3,0),"")</f>
        <v/>
      </c>
      <c r="N847" s="92" t="str">
        <f t="shared" si="9"/>
        <v/>
      </c>
      <c r="O847" s="92" t="str">
        <f t="shared" si="2"/>
        <v/>
      </c>
      <c r="P847" s="94">
        <f t="shared" si="3"/>
        <v>0</v>
      </c>
      <c r="Q847" s="94" t="str">
        <f t="shared" si="4"/>
        <v/>
      </c>
      <c r="R847" s="95">
        <f t="shared" si="5"/>
        <v>0</v>
      </c>
      <c r="S847" s="95">
        <f t="shared" si="6"/>
        <v>0</v>
      </c>
      <c r="T847" s="95" t="str">
        <f t="shared" si="7"/>
        <v/>
      </c>
    </row>
    <row r="848">
      <c r="A848" s="106"/>
      <c r="B848" s="107"/>
      <c r="C848" s="106"/>
      <c r="D848" s="108"/>
      <c r="E848" s="109"/>
      <c r="F848" s="110"/>
      <c r="G848" s="110"/>
      <c r="H848" s="111"/>
      <c r="I848" s="92" t="str">
        <f>IFERROR(VLOOKUP(D848,'Công T5'!$C$7:$F$89,4,0),"")</f>
        <v/>
      </c>
      <c r="J848" s="92" t="str">
        <f t="shared" si="8"/>
        <v/>
      </c>
      <c r="K848" s="92" t="str">
        <f t="shared" si="10"/>
        <v/>
      </c>
      <c r="L848" s="92" t="str">
        <f>IFERROR(VLOOKUP(D848,'Công T5'!$C$7:$F$89,2,0),"")</f>
        <v/>
      </c>
      <c r="M848" s="92" t="str">
        <f>IFERROR(VLOOKUP(D848,'Công T5'!$C$7:$F$89,3,0),"")</f>
        <v/>
      </c>
      <c r="N848" s="92" t="str">
        <f t="shared" si="9"/>
        <v/>
      </c>
      <c r="O848" s="92" t="str">
        <f t="shared" si="2"/>
        <v/>
      </c>
      <c r="P848" s="94">
        <f t="shared" si="3"/>
        <v>0</v>
      </c>
      <c r="Q848" s="94" t="str">
        <f t="shared" si="4"/>
        <v/>
      </c>
      <c r="R848" s="95">
        <f t="shared" si="5"/>
        <v>0</v>
      </c>
      <c r="S848" s="95">
        <f t="shared" si="6"/>
        <v>0</v>
      </c>
      <c r="T848" s="95" t="str">
        <f t="shared" si="7"/>
        <v/>
      </c>
    </row>
    <row r="849">
      <c r="A849" s="106"/>
      <c r="B849" s="107"/>
      <c r="C849" s="106"/>
      <c r="D849" s="108"/>
      <c r="E849" s="109"/>
      <c r="F849" s="110"/>
      <c r="G849" s="110"/>
      <c r="H849" s="111"/>
      <c r="I849" s="92" t="str">
        <f>IFERROR(VLOOKUP(D849,'Công T5'!$C$7:$F$89,4,0),"")</f>
        <v/>
      </c>
      <c r="J849" s="92" t="str">
        <f t="shared" si="8"/>
        <v/>
      </c>
      <c r="K849" s="92" t="str">
        <f t="shared" si="10"/>
        <v/>
      </c>
      <c r="L849" s="92" t="str">
        <f>IFERROR(VLOOKUP(D849,'Công T5'!$C$7:$F$89,2,0),"")</f>
        <v/>
      </c>
      <c r="M849" s="92" t="str">
        <f>IFERROR(VLOOKUP(D849,'Công T5'!$C$7:$F$89,3,0),"")</f>
        <v/>
      </c>
      <c r="N849" s="92" t="str">
        <f t="shared" si="9"/>
        <v/>
      </c>
      <c r="O849" s="92" t="str">
        <f t="shared" si="2"/>
        <v/>
      </c>
      <c r="P849" s="94">
        <f t="shared" si="3"/>
        <v>0</v>
      </c>
      <c r="Q849" s="94" t="str">
        <f t="shared" si="4"/>
        <v/>
      </c>
      <c r="R849" s="95">
        <f t="shared" si="5"/>
        <v>0</v>
      </c>
      <c r="S849" s="95">
        <f t="shared" si="6"/>
        <v>0</v>
      </c>
      <c r="T849" s="95" t="str">
        <f t="shared" si="7"/>
        <v/>
      </c>
    </row>
    <row r="850">
      <c r="A850" s="106"/>
      <c r="B850" s="107"/>
      <c r="C850" s="106"/>
      <c r="D850" s="108"/>
      <c r="E850" s="109"/>
      <c r="F850" s="110"/>
      <c r="G850" s="110"/>
      <c r="H850" s="111"/>
      <c r="I850" s="92" t="str">
        <f>IFERROR(VLOOKUP(D850,'Công T5'!$C$7:$F$89,4,0),"")</f>
        <v/>
      </c>
      <c r="J850" s="92" t="str">
        <f t="shared" si="8"/>
        <v/>
      </c>
      <c r="K850" s="92" t="str">
        <f t="shared" si="10"/>
        <v/>
      </c>
      <c r="L850" s="92" t="str">
        <f>IFERROR(VLOOKUP(D850,'Công T5'!$C$7:$F$89,2,0),"")</f>
        <v/>
      </c>
      <c r="M850" s="92" t="str">
        <f>IFERROR(VLOOKUP(D850,'Công T5'!$C$7:$F$89,3,0),"")</f>
        <v/>
      </c>
      <c r="N850" s="92" t="str">
        <f t="shared" si="9"/>
        <v/>
      </c>
      <c r="O850" s="92" t="str">
        <f t="shared" si="2"/>
        <v/>
      </c>
      <c r="P850" s="94">
        <f t="shared" si="3"/>
        <v>0</v>
      </c>
      <c r="Q850" s="94" t="str">
        <f t="shared" si="4"/>
        <v/>
      </c>
      <c r="R850" s="95">
        <f t="shared" si="5"/>
        <v>0</v>
      </c>
      <c r="S850" s="95">
        <f t="shared" si="6"/>
        <v>0</v>
      </c>
      <c r="T850" s="95" t="str">
        <f t="shared" si="7"/>
        <v/>
      </c>
    </row>
    <row r="851">
      <c r="A851" s="106"/>
      <c r="B851" s="107"/>
      <c r="C851" s="106"/>
      <c r="D851" s="108"/>
      <c r="E851" s="109"/>
      <c r="F851" s="110"/>
      <c r="G851" s="110"/>
      <c r="H851" s="111"/>
      <c r="I851" s="92" t="str">
        <f>IFERROR(VLOOKUP(D851,'Công T5'!$C$7:$F$89,4,0),"")</f>
        <v/>
      </c>
      <c r="J851" s="92" t="str">
        <f t="shared" si="8"/>
        <v/>
      </c>
      <c r="K851" s="92" t="str">
        <f t="shared" si="10"/>
        <v/>
      </c>
      <c r="L851" s="92" t="str">
        <f>IFERROR(VLOOKUP(D851,'Công T5'!$C$7:$F$89,2,0),"")</f>
        <v/>
      </c>
      <c r="M851" s="92" t="str">
        <f>IFERROR(VLOOKUP(D851,'Công T5'!$C$7:$F$89,3,0),"")</f>
        <v/>
      </c>
      <c r="N851" s="92" t="str">
        <f t="shared" si="9"/>
        <v/>
      </c>
      <c r="O851" s="92" t="str">
        <f t="shared" si="2"/>
        <v/>
      </c>
      <c r="P851" s="94">
        <f t="shared" si="3"/>
        <v>0</v>
      </c>
      <c r="Q851" s="94" t="str">
        <f t="shared" si="4"/>
        <v/>
      </c>
      <c r="R851" s="95">
        <f t="shared" si="5"/>
        <v>0</v>
      </c>
      <c r="S851" s="95">
        <f t="shared" si="6"/>
        <v>0</v>
      </c>
      <c r="T851" s="95" t="str">
        <f t="shared" si="7"/>
        <v/>
      </c>
    </row>
    <row r="852">
      <c r="A852" s="106"/>
      <c r="B852" s="107"/>
      <c r="C852" s="106"/>
      <c r="D852" s="108"/>
      <c r="E852" s="109"/>
      <c r="F852" s="110"/>
      <c r="G852" s="110"/>
      <c r="H852" s="111"/>
      <c r="I852" s="92" t="str">
        <f>IFERROR(VLOOKUP(D852,'Công T5'!$C$7:$F$89,4,0),"")</f>
        <v/>
      </c>
      <c r="J852" s="92" t="str">
        <f t="shared" si="8"/>
        <v/>
      </c>
      <c r="K852" s="92" t="str">
        <f t="shared" si="10"/>
        <v/>
      </c>
      <c r="L852" s="92" t="str">
        <f>IFERROR(VLOOKUP(D852,'Công T5'!$C$7:$F$89,2,0),"")</f>
        <v/>
      </c>
      <c r="M852" s="92" t="str">
        <f>IFERROR(VLOOKUP(D852,'Công T5'!$C$7:$F$89,3,0),"")</f>
        <v/>
      </c>
      <c r="N852" s="92" t="str">
        <f t="shared" si="9"/>
        <v/>
      </c>
      <c r="O852" s="92" t="str">
        <f t="shared" si="2"/>
        <v/>
      </c>
      <c r="P852" s="94">
        <f t="shared" si="3"/>
        <v>0</v>
      </c>
      <c r="Q852" s="94" t="str">
        <f t="shared" si="4"/>
        <v/>
      </c>
      <c r="R852" s="95">
        <f t="shared" si="5"/>
        <v>0</v>
      </c>
      <c r="S852" s="95">
        <f t="shared" si="6"/>
        <v>0</v>
      </c>
      <c r="T852" s="95" t="str">
        <f t="shared" si="7"/>
        <v/>
      </c>
    </row>
    <row r="853">
      <c r="A853" s="106"/>
      <c r="B853" s="107"/>
      <c r="C853" s="106"/>
      <c r="D853" s="108"/>
      <c r="E853" s="109"/>
      <c r="F853" s="110"/>
      <c r="G853" s="110"/>
      <c r="H853" s="111"/>
      <c r="I853" s="92" t="str">
        <f>IFERROR(VLOOKUP(D853,'Công T5'!$C$7:$F$89,4,0),"")</f>
        <v/>
      </c>
      <c r="J853" s="92" t="str">
        <f t="shared" si="8"/>
        <v/>
      </c>
      <c r="K853" s="92" t="str">
        <f t="shared" si="10"/>
        <v/>
      </c>
      <c r="L853" s="92" t="str">
        <f>IFERROR(VLOOKUP(D853,'Công T5'!$C$7:$F$89,2,0),"")</f>
        <v/>
      </c>
      <c r="M853" s="92" t="str">
        <f>IFERROR(VLOOKUP(D853,'Công T5'!$C$7:$F$89,3,0),"")</f>
        <v/>
      </c>
      <c r="N853" s="92" t="str">
        <f t="shared" si="9"/>
        <v/>
      </c>
      <c r="O853" s="92" t="str">
        <f t="shared" si="2"/>
        <v/>
      </c>
      <c r="P853" s="94">
        <f t="shared" si="3"/>
        <v>0</v>
      </c>
      <c r="Q853" s="94" t="str">
        <f t="shared" si="4"/>
        <v/>
      </c>
      <c r="R853" s="95">
        <f t="shared" si="5"/>
        <v>0</v>
      </c>
      <c r="S853" s="95">
        <f t="shared" si="6"/>
        <v>0</v>
      </c>
      <c r="T853" s="95" t="str">
        <f t="shared" si="7"/>
        <v/>
      </c>
    </row>
    <row r="854">
      <c r="A854" s="106"/>
      <c r="B854" s="107"/>
      <c r="C854" s="106"/>
      <c r="D854" s="108"/>
      <c r="E854" s="109"/>
      <c r="F854" s="110"/>
      <c r="G854" s="110"/>
      <c r="H854" s="111"/>
      <c r="I854" s="92" t="str">
        <f>IFERROR(VLOOKUP(D854,'Công T5'!$C$7:$F$89,4,0),"")</f>
        <v/>
      </c>
      <c r="J854" s="92" t="str">
        <f t="shared" si="8"/>
        <v/>
      </c>
      <c r="K854" s="92" t="str">
        <f t="shared" si="10"/>
        <v/>
      </c>
      <c r="L854" s="92" t="str">
        <f>IFERROR(VLOOKUP(D854,'Công T5'!$C$7:$F$89,2,0),"")</f>
        <v/>
      </c>
      <c r="M854" s="92" t="str">
        <f>IFERROR(VLOOKUP(D854,'Công T5'!$C$7:$F$89,3,0),"")</f>
        <v/>
      </c>
      <c r="N854" s="92" t="str">
        <f t="shared" si="9"/>
        <v/>
      </c>
      <c r="O854" s="92" t="str">
        <f t="shared" si="2"/>
        <v/>
      </c>
      <c r="P854" s="94">
        <f t="shared" si="3"/>
        <v>0</v>
      </c>
      <c r="Q854" s="94" t="str">
        <f t="shared" si="4"/>
        <v/>
      </c>
      <c r="R854" s="95">
        <f t="shared" si="5"/>
        <v>0</v>
      </c>
      <c r="S854" s="95">
        <f t="shared" si="6"/>
        <v>0</v>
      </c>
      <c r="T854" s="95" t="str">
        <f t="shared" si="7"/>
        <v/>
      </c>
    </row>
    <row r="855">
      <c r="A855" s="106"/>
      <c r="B855" s="107"/>
      <c r="C855" s="106"/>
      <c r="D855" s="108"/>
      <c r="E855" s="109"/>
      <c r="F855" s="110"/>
      <c r="G855" s="110"/>
      <c r="H855" s="111"/>
      <c r="I855" s="92" t="str">
        <f>IFERROR(VLOOKUP(D855,'Công T5'!$C$7:$F$89,4,0),"")</f>
        <v/>
      </c>
      <c r="J855" s="92" t="str">
        <f t="shared" si="8"/>
        <v/>
      </c>
      <c r="K855" s="92" t="str">
        <f t="shared" si="10"/>
        <v/>
      </c>
      <c r="L855" s="92" t="str">
        <f>IFERROR(VLOOKUP(D855,'Công T5'!$C$7:$F$89,2,0),"")</f>
        <v/>
      </c>
      <c r="M855" s="92" t="str">
        <f>IFERROR(VLOOKUP(D855,'Công T5'!$C$7:$F$89,3,0),"")</f>
        <v/>
      </c>
      <c r="N855" s="92" t="str">
        <f t="shared" si="9"/>
        <v/>
      </c>
      <c r="O855" s="92" t="str">
        <f t="shared" si="2"/>
        <v/>
      </c>
      <c r="P855" s="94">
        <f t="shared" si="3"/>
        <v>0</v>
      </c>
      <c r="Q855" s="94" t="str">
        <f t="shared" si="4"/>
        <v/>
      </c>
      <c r="R855" s="95">
        <f t="shared" si="5"/>
        <v>0</v>
      </c>
      <c r="S855" s="95">
        <f t="shared" si="6"/>
        <v>0</v>
      </c>
      <c r="T855" s="95" t="str">
        <f t="shared" si="7"/>
        <v/>
      </c>
    </row>
    <row r="856">
      <c r="A856" s="106"/>
      <c r="B856" s="107"/>
      <c r="C856" s="106"/>
      <c r="D856" s="108"/>
      <c r="E856" s="109"/>
      <c r="F856" s="110"/>
      <c r="G856" s="110"/>
      <c r="H856" s="111"/>
      <c r="I856" s="92" t="str">
        <f>IFERROR(VLOOKUP(D856,'Công T5'!$C$7:$F$89,4,0),"")</f>
        <v/>
      </c>
      <c r="J856" s="92" t="str">
        <f t="shared" si="8"/>
        <v/>
      </c>
      <c r="K856" s="92" t="str">
        <f t="shared" si="10"/>
        <v/>
      </c>
      <c r="L856" s="92" t="str">
        <f>IFERROR(VLOOKUP(D856,'Công T5'!$C$7:$F$89,2,0),"")</f>
        <v/>
      </c>
      <c r="M856" s="92" t="str">
        <f>IFERROR(VLOOKUP(D856,'Công T5'!$C$7:$F$89,3,0),"")</f>
        <v/>
      </c>
      <c r="N856" s="92" t="str">
        <f t="shared" si="9"/>
        <v/>
      </c>
      <c r="O856" s="92" t="str">
        <f t="shared" si="2"/>
        <v/>
      </c>
      <c r="P856" s="94">
        <f t="shared" si="3"/>
        <v>0</v>
      </c>
      <c r="Q856" s="94" t="str">
        <f t="shared" si="4"/>
        <v/>
      </c>
      <c r="R856" s="95">
        <f t="shared" si="5"/>
        <v>0</v>
      </c>
      <c r="S856" s="95">
        <f t="shared" si="6"/>
        <v>0</v>
      </c>
      <c r="T856" s="95" t="str">
        <f t="shared" si="7"/>
        <v/>
      </c>
    </row>
    <row r="857">
      <c r="A857" s="106"/>
      <c r="B857" s="107"/>
      <c r="C857" s="106"/>
      <c r="D857" s="108"/>
      <c r="E857" s="109"/>
      <c r="F857" s="110"/>
      <c r="G857" s="110"/>
      <c r="H857" s="111"/>
      <c r="I857" s="92" t="str">
        <f>IFERROR(VLOOKUP(D857,'Công T5'!$C$7:$F$89,4,0),"")</f>
        <v/>
      </c>
      <c r="J857" s="92" t="str">
        <f t="shared" si="8"/>
        <v/>
      </c>
      <c r="K857" s="92" t="str">
        <f t="shared" si="10"/>
        <v/>
      </c>
      <c r="L857" s="92" t="str">
        <f>IFERROR(VLOOKUP(D857,'Công T5'!$C$7:$F$89,2,0),"")</f>
        <v/>
      </c>
      <c r="M857" s="92" t="str">
        <f>IFERROR(VLOOKUP(D857,'Công T5'!$C$7:$F$89,3,0),"")</f>
        <v/>
      </c>
      <c r="N857" s="92" t="str">
        <f t="shared" si="9"/>
        <v/>
      </c>
      <c r="O857" s="92" t="str">
        <f t="shared" si="2"/>
        <v/>
      </c>
      <c r="P857" s="94">
        <f t="shared" si="3"/>
        <v>0</v>
      </c>
      <c r="Q857" s="94" t="str">
        <f t="shared" si="4"/>
        <v/>
      </c>
      <c r="R857" s="95">
        <f t="shared" si="5"/>
        <v>0</v>
      </c>
      <c r="S857" s="95">
        <f t="shared" si="6"/>
        <v>0</v>
      </c>
      <c r="T857" s="95" t="str">
        <f t="shared" si="7"/>
        <v/>
      </c>
    </row>
    <row r="858">
      <c r="A858" s="106"/>
      <c r="B858" s="107"/>
      <c r="C858" s="106"/>
      <c r="D858" s="108"/>
      <c r="E858" s="109"/>
      <c r="F858" s="110"/>
      <c r="G858" s="110"/>
      <c r="H858" s="111"/>
      <c r="I858" s="92" t="str">
        <f>IFERROR(VLOOKUP(D858,'Công T5'!$C$7:$F$89,4,0),"")</f>
        <v/>
      </c>
      <c r="J858" s="92" t="str">
        <f t="shared" si="8"/>
        <v/>
      </c>
      <c r="K858" s="92" t="str">
        <f t="shared" si="10"/>
        <v/>
      </c>
      <c r="L858" s="92" t="str">
        <f>IFERROR(VLOOKUP(D858,'Công T5'!$C$7:$F$89,2,0),"")</f>
        <v/>
      </c>
      <c r="M858" s="92" t="str">
        <f>IFERROR(VLOOKUP(D858,'Công T5'!$C$7:$F$89,3,0),"")</f>
        <v/>
      </c>
      <c r="N858" s="92" t="str">
        <f t="shared" si="9"/>
        <v/>
      </c>
      <c r="O858" s="92" t="str">
        <f t="shared" si="2"/>
        <v/>
      </c>
      <c r="P858" s="94">
        <f t="shared" si="3"/>
        <v>0</v>
      </c>
      <c r="Q858" s="94" t="str">
        <f t="shared" si="4"/>
        <v/>
      </c>
      <c r="R858" s="95">
        <f t="shared" si="5"/>
        <v>0</v>
      </c>
      <c r="S858" s="95">
        <f t="shared" si="6"/>
        <v>0</v>
      </c>
      <c r="T858" s="95" t="str">
        <f t="shared" si="7"/>
        <v/>
      </c>
    </row>
    <row r="859">
      <c r="A859" s="106"/>
      <c r="B859" s="107"/>
      <c r="C859" s="106"/>
      <c r="D859" s="108"/>
      <c r="E859" s="109"/>
      <c r="F859" s="110"/>
      <c r="G859" s="110"/>
      <c r="H859" s="111"/>
      <c r="I859" s="92" t="str">
        <f>IFERROR(VLOOKUP(D859,'Công T5'!$C$7:$F$89,4,0),"")</f>
        <v/>
      </c>
      <c r="J859" s="92" t="str">
        <f t="shared" si="8"/>
        <v/>
      </c>
      <c r="K859" s="92" t="str">
        <f t="shared" si="10"/>
        <v/>
      </c>
      <c r="L859" s="92" t="str">
        <f>IFERROR(VLOOKUP(D859,'Công T5'!$C$7:$F$89,2,0),"")</f>
        <v/>
      </c>
      <c r="M859" s="92" t="str">
        <f>IFERROR(VLOOKUP(D859,'Công T5'!$C$7:$F$89,3,0),"")</f>
        <v/>
      </c>
      <c r="N859" s="92" t="str">
        <f t="shared" si="9"/>
        <v/>
      </c>
      <c r="O859" s="92" t="str">
        <f t="shared" si="2"/>
        <v/>
      </c>
      <c r="P859" s="94">
        <f t="shared" si="3"/>
        <v>0</v>
      </c>
      <c r="Q859" s="94" t="str">
        <f t="shared" si="4"/>
        <v/>
      </c>
      <c r="R859" s="95">
        <f t="shared" si="5"/>
        <v>0</v>
      </c>
      <c r="S859" s="95">
        <f t="shared" si="6"/>
        <v>0</v>
      </c>
      <c r="T859" s="95" t="str">
        <f t="shared" si="7"/>
        <v/>
      </c>
    </row>
    <row r="860">
      <c r="A860" s="106"/>
      <c r="B860" s="107"/>
      <c r="C860" s="106"/>
      <c r="D860" s="108"/>
      <c r="E860" s="109"/>
      <c r="F860" s="110"/>
      <c r="G860" s="110"/>
      <c r="H860" s="111"/>
      <c r="I860" s="92" t="str">
        <f>IFERROR(VLOOKUP(D860,'Công T5'!$C$7:$F$89,4,0),"")</f>
        <v/>
      </c>
      <c r="J860" s="92" t="str">
        <f t="shared" si="8"/>
        <v/>
      </c>
      <c r="K860" s="92" t="str">
        <f t="shared" si="10"/>
        <v/>
      </c>
      <c r="L860" s="92" t="str">
        <f>IFERROR(VLOOKUP(D860,'Công T5'!$C$7:$F$89,2,0),"")</f>
        <v/>
      </c>
      <c r="M860" s="92" t="str">
        <f>IFERROR(VLOOKUP(D860,'Công T5'!$C$7:$F$89,3,0),"")</f>
        <v/>
      </c>
      <c r="N860" s="92" t="str">
        <f t="shared" si="9"/>
        <v/>
      </c>
      <c r="O860" s="92" t="str">
        <f t="shared" si="2"/>
        <v/>
      </c>
      <c r="P860" s="94">
        <f t="shared" si="3"/>
        <v>0</v>
      </c>
      <c r="Q860" s="94" t="str">
        <f t="shared" si="4"/>
        <v/>
      </c>
      <c r="R860" s="95">
        <f t="shared" si="5"/>
        <v>0</v>
      </c>
      <c r="S860" s="95">
        <f t="shared" si="6"/>
        <v>0</v>
      </c>
      <c r="T860" s="95" t="str">
        <f t="shared" si="7"/>
        <v/>
      </c>
    </row>
    <row r="861">
      <c r="A861" s="106"/>
      <c r="B861" s="107"/>
      <c r="C861" s="106"/>
      <c r="D861" s="108"/>
      <c r="E861" s="109"/>
      <c r="F861" s="110"/>
      <c r="G861" s="110"/>
      <c r="H861" s="111"/>
      <c r="I861" s="92" t="str">
        <f>IFERROR(VLOOKUP(D861,'Công T5'!$C$7:$F$89,4,0),"")</f>
        <v/>
      </c>
      <c r="J861" s="92" t="str">
        <f t="shared" si="8"/>
        <v/>
      </c>
      <c r="K861" s="92" t="str">
        <f t="shared" si="10"/>
        <v/>
      </c>
      <c r="L861" s="92" t="str">
        <f>IFERROR(VLOOKUP(D861,'Công T5'!$C$7:$F$89,2,0),"")</f>
        <v/>
      </c>
      <c r="M861" s="92" t="str">
        <f>IFERROR(VLOOKUP(D861,'Công T5'!$C$7:$F$89,3,0),"")</f>
        <v/>
      </c>
      <c r="N861" s="92" t="str">
        <f t="shared" si="9"/>
        <v/>
      </c>
      <c r="O861" s="92" t="str">
        <f t="shared" si="2"/>
        <v/>
      </c>
      <c r="P861" s="94">
        <f t="shared" si="3"/>
        <v>0</v>
      </c>
      <c r="Q861" s="94" t="str">
        <f t="shared" si="4"/>
        <v/>
      </c>
      <c r="R861" s="95">
        <f t="shared" si="5"/>
        <v>0</v>
      </c>
      <c r="S861" s="95">
        <f t="shared" si="6"/>
        <v>0</v>
      </c>
      <c r="T861" s="95" t="str">
        <f t="shared" si="7"/>
        <v/>
      </c>
    </row>
    <row r="862">
      <c r="A862" s="106"/>
      <c r="B862" s="107"/>
      <c r="C862" s="106"/>
      <c r="D862" s="108"/>
      <c r="E862" s="109"/>
      <c r="F862" s="110"/>
      <c r="G862" s="110"/>
      <c r="H862" s="111"/>
      <c r="I862" s="92" t="str">
        <f>IFERROR(VLOOKUP(D862,'Công T5'!$C$7:$F$89,4,0),"")</f>
        <v/>
      </c>
      <c r="J862" s="92" t="str">
        <f t="shared" si="8"/>
        <v/>
      </c>
      <c r="K862" s="92" t="str">
        <f t="shared" si="10"/>
        <v/>
      </c>
      <c r="L862" s="92" t="str">
        <f>IFERROR(VLOOKUP(D862,'Công T5'!$C$7:$F$89,2,0),"")</f>
        <v/>
      </c>
      <c r="M862" s="92" t="str">
        <f>IFERROR(VLOOKUP(D862,'Công T5'!$C$7:$F$89,3,0),"")</f>
        <v/>
      </c>
      <c r="N862" s="92" t="str">
        <f t="shared" si="9"/>
        <v/>
      </c>
      <c r="O862" s="92" t="str">
        <f t="shared" si="2"/>
        <v/>
      </c>
      <c r="P862" s="94">
        <f t="shared" si="3"/>
        <v>0</v>
      </c>
      <c r="Q862" s="94" t="str">
        <f t="shared" si="4"/>
        <v/>
      </c>
      <c r="R862" s="95">
        <f t="shared" si="5"/>
        <v>0</v>
      </c>
      <c r="S862" s="95">
        <f t="shared" si="6"/>
        <v>0</v>
      </c>
      <c r="T862" s="95" t="str">
        <f t="shared" si="7"/>
        <v/>
      </c>
    </row>
    <row r="863">
      <c r="A863" s="106"/>
      <c r="B863" s="107"/>
      <c r="C863" s="106"/>
      <c r="D863" s="108"/>
      <c r="E863" s="109"/>
      <c r="F863" s="110"/>
      <c r="G863" s="110"/>
      <c r="H863" s="111"/>
      <c r="I863" s="92" t="str">
        <f>IFERROR(VLOOKUP(D863,'Công T5'!$C$7:$F$89,4,0),"")</f>
        <v/>
      </c>
      <c r="J863" s="92" t="str">
        <f t="shared" si="8"/>
        <v/>
      </c>
      <c r="K863" s="92" t="str">
        <f t="shared" si="10"/>
        <v/>
      </c>
      <c r="L863" s="92" t="str">
        <f>IFERROR(VLOOKUP(D863,'Công T5'!$C$7:$F$89,2,0),"")</f>
        <v/>
      </c>
      <c r="M863" s="92" t="str">
        <f>IFERROR(VLOOKUP(D863,'Công T5'!$C$7:$F$89,3,0),"")</f>
        <v/>
      </c>
      <c r="N863" s="92" t="str">
        <f t="shared" si="9"/>
        <v/>
      </c>
      <c r="O863" s="92" t="str">
        <f t="shared" si="2"/>
        <v/>
      </c>
      <c r="P863" s="94">
        <f t="shared" si="3"/>
        <v>0</v>
      </c>
      <c r="Q863" s="94" t="str">
        <f t="shared" si="4"/>
        <v/>
      </c>
      <c r="R863" s="95">
        <f t="shared" si="5"/>
        <v>0</v>
      </c>
      <c r="S863" s="95">
        <f t="shared" si="6"/>
        <v>0</v>
      </c>
      <c r="T863" s="95" t="str">
        <f t="shared" si="7"/>
        <v/>
      </c>
    </row>
    <row r="864">
      <c r="A864" s="106"/>
      <c r="B864" s="107"/>
      <c r="C864" s="106"/>
      <c r="D864" s="108"/>
      <c r="E864" s="109"/>
      <c r="F864" s="110"/>
      <c r="G864" s="110"/>
      <c r="H864" s="111"/>
      <c r="I864" s="92" t="str">
        <f>IFERROR(VLOOKUP(D864,'Công T5'!$C$7:$F$89,4,0),"")</f>
        <v/>
      </c>
      <c r="J864" s="92" t="str">
        <f t="shared" si="8"/>
        <v/>
      </c>
      <c r="K864" s="92" t="str">
        <f t="shared" si="10"/>
        <v/>
      </c>
      <c r="L864" s="92" t="str">
        <f>IFERROR(VLOOKUP(D864,'Công T5'!$C$7:$F$89,2,0),"")</f>
        <v/>
      </c>
      <c r="M864" s="92" t="str">
        <f>IFERROR(VLOOKUP(D864,'Công T5'!$C$7:$F$89,3,0),"")</f>
        <v/>
      </c>
      <c r="N864" s="92" t="str">
        <f t="shared" si="9"/>
        <v/>
      </c>
      <c r="O864" s="92" t="str">
        <f t="shared" si="2"/>
        <v/>
      </c>
      <c r="P864" s="94">
        <f t="shared" si="3"/>
        <v>0</v>
      </c>
      <c r="Q864" s="94" t="str">
        <f t="shared" si="4"/>
        <v/>
      </c>
      <c r="R864" s="95">
        <f t="shared" si="5"/>
        <v>0</v>
      </c>
      <c r="S864" s="95">
        <f t="shared" si="6"/>
        <v>0</v>
      </c>
      <c r="T864" s="95" t="str">
        <f t="shared" si="7"/>
        <v/>
      </c>
    </row>
    <row r="865">
      <c r="A865" s="106"/>
      <c r="B865" s="107"/>
      <c r="C865" s="106"/>
      <c r="D865" s="108"/>
      <c r="E865" s="109"/>
      <c r="F865" s="110"/>
      <c r="G865" s="110"/>
      <c r="H865" s="111"/>
      <c r="I865" s="92" t="str">
        <f>IFERROR(VLOOKUP(D865,'Công T5'!$C$7:$F$89,4,0),"")</f>
        <v/>
      </c>
      <c r="J865" s="92" t="str">
        <f t="shared" si="8"/>
        <v/>
      </c>
      <c r="K865" s="92" t="str">
        <f t="shared" si="10"/>
        <v/>
      </c>
      <c r="L865" s="92" t="str">
        <f>IFERROR(VLOOKUP(D865,'Công T5'!$C$7:$F$89,2,0),"")</f>
        <v/>
      </c>
      <c r="M865" s="92" t="str">
        <f>IFERROR(VLOOKUP(D865,'Công T5'!$C$7:$F$89,3,0),"")</f>
        <v/>
      </c>
      <c r="N865" s="92" t="str">
        <f t="shared" si="9"/>
        <v/>
      </c>
      <c r="O865" s="92" t="str">
        <f t="shared" si="2"/>
        <v/>
      </c>
      <c r="P865" s="94">
        <f t="shared" si="3"/>
        <v>0</v>
      </c>
      <c r="Q865" s="94" t="str">
        <f t="shared" si="4"/>
        <v/>
      </c>
      <c r="R865" s="95">
        <f t="shared" si="5"/>
        <v>0</v>
      </c>
      <c r="S865" s="95">
        <f t="shared" si="6"/>
        <v>0</v>
      </c>
      <c r="T865" s="95" t="str">
        <f t="shared" si="7"/>
        <v/>
      </c>
    </row>
    <row r="866">
      <c r="A866" s="106"/>
      <c r="B866" s="107"/>
      <c r="C866" s="106"/>
      <c r="D866" s="108"/>
      <c r="E866" s="109"/>
      <c r="F866" s="110"/>
      <c r="G866" s="110"/>
      <c r="H866" s="111"/>
      <c r="I866" s="92" t="str">
        <f>IFERROR(VLOOKUP(D866,'Công T5'!$C$7:$F$89,4,0),"")</f>
        <v/>
      </c>
      <c r="J866" s="92" t="str">
        <f t="shared" si="8"/>
        <v/>
      </c>
      <c r="K866" s="92" t="str">
        <f t="shared" si="10"/>
        <v/>
      </c>
      <c r="L866" s="92" t="str">
        <f>IFERROR(VLOOKUP(D866,'Công T5'!$C$7:$F$89,2,0),"")</f>
        <v/>
      </c>
      <c r="M866" s="92" t="str">
        <f>IFERROR(VLOOKUP(D866,'Công T5'!$C$7:$F$89,3,0),"")</f>
        <v/>
      </c>
      <c r="N866" s="92" t="str">
        <f t="shared" si="9"/>
        <v/>
      </c>
      <c r="O866" s="92" t="str">
        <f t="shared" si="2"/>
        <v/>
      </c>
      <c r="P866" s="94">
        <f t="shared" si="3"/>
        <v>0</v>
      </c>
      <c r="Q866" s="94" t="str">
        <f t="shared" si="4"/>
        <v/>
      </c>
      <c r="R866" s="95">
        <f t="shared" si="5"/>
        <v>0</v>
      </c>
      <c r="S866" s="95">
        <f t="shared" si="6"/>
        <v>0</v>
      </c>
      <c r="T866" s="95" t="str">
        <f t="shared" si="7"/>
        <v/>
      </c>
    </row>
    <row r="867">
      <c r="A867" s="106"/>
      <c r="B867" s="107"/>
      <c r="C867" s="106"/>
      <c r="D867" s="108"/>
      <c r="E867" s="109"/>
      <c r="F867" s="110"/>
      <c r="G867" s="110"/>
      <c r="H867" s="111"/>
      <c r="I867" s="92" t="str">
        <f>IFERROR(VLOOKUP(D867,'Công T5'!$C$7:$F$89,4,0),"")</f>
        <v/>
      </c>
      <c r="J867" s="92" t="str">
        <f t="shared" si="8"/>
        <v/>
      </c>
      <c r="K867" s="92" t="str">
        <f t="shared" si="10"/>
        <v/>
      </c>
      <c r="L867" s="92" t="str">
        <f>IFERROR(VLOOKUP(D867,'Công T5'!$C$7:$F$89,2,0),"")</f>
        <v/>
      </c>
      <c r="M867" s="92" t="str">
        <f>IFERROR(VLOOKUP(D867,'Công T5'!$C$7:$F$89,3,0),"")</f>
        <v/>
      </c>
      <c r="N867" s="92" t="str">
        <f t="shared" si="9"/>
        <v/>
      </c>
      <c r="O867" s="92" t="str">
        <f t="shared" si="2"/>
        <v/>
      </c>
      <c r="P867" s="94">
        <f t="shared" si="3"/>
        <v>0</v>
      </c>
      <c r="Q867" s="94" t="str">
        <f t="shared" si="4"/>
        <v/>
      </c>
      <c r="R867" s="95">
        <f t="shared" si="5"/>
        <v>0</v>
      </c>
      <c r="S867" s="95">
        <f t="shared" si="6"/>
        <v>0</v>
      </c>
      <c r="T867" s="95" t="str">
        <f t="shared" si="7"/>
        <v/>
      </c>
    </row>
    <row r="868">
      <c r="A868" s="106"/>
      <c r="B868" s="107"/>
      <c r="C868" s="106"/>
      <c r="D868" s="108"/>
      <c r="E868" s="109"/>
      <c r="F868" s="110"/>
      <c r="G868" s="110"/>
      <c r="H868" s="111"/>
      <c r="I868" s="92" t="str">
        <f>IFERROR(VLOOKUP(D868,'Công T5'!$C$7:$F$89,4,0),"")</f>
        <v/>
      </c>
      <c r="J868" s="92" t="str">
        <f t="shared" si="8"/>
        <v/>
      </c>
      <c r="K868" s="92" t="str">
        <f t="shared" si="10"/>
        <v/>
      </c>
      <c r="L868" s="92" t="str">
        <f>IFERROR(VLOOKUP(D868,'Công T5'!$C$7:$F$89,2,0),"")</f>
        <v/>
      </c>
      <c r="M868" s="92" t="str">
        <f>IFERROR(VLOOKUP(D868,'Công T5'!$C$7:$F$89,3,0),"")</f>
        <v/>
      </c>
      <c r="N868" s="92" t="str">
        <f t="shared" si="9"/>
        <v/>
      </c>
      <c r="O868" s="92" t="str">
        <f t="shared" si="2"/>
        <v/>
      </c>
      <c r="P868" s="94">
        <f t="shared" si="3"/>
        <v>0</v>
      </c>
      <c r="Q868" s="94" t="str">
        <f t="shared" si="4"/>
        <v/>
      </c>
      <c r="R868" s="95">
        <f t="shared" si="5"/>
        <v>0</v>
      </c>
      <c r="S868" s="95">
        <f t="shared" si="6"/>
        <v>0</v>
      </c>
      <c r="T868" s="95" t="str">
        <f t="shared" si="7"/>
        <v/>
      </c>
    </row>
    <row r="869">
      <c r="A869" s="106"/>
      <c r="B869" s="107"/>
      <c r="C869" s="106"/>
      <c r="D869" s="108"/>
      <c r="E869" s="109"/>
      <c r="F869" s="110"/>
      <c r="G869" s="110"/>
      <c r="H869" s="111"/>
      <c r="I869" s="92" t="str">
        <f>IFERROR(VLOOKUP(D869,'Công T5'!$C$7:$F$89,4,0),"")</f>
        <v/>
      </c>
      <c r="J869" s="92" t="str">
        <f t="shared" si="8"/>
        <v/>
      </c>
      <c r="K869" s="92" t="str">
        <f t="shared" si="10"/>
        <v/>
      </c>
      <c r="L869" s="92" t="str">
        <f>IFERROR(VLOOKUP(D869,'Công T5'!$C$7:$F$89,2,0),"")</f>
        <v/>
      </c>
      <c r="M869" s="92" t="str">
        <f>IFERROR(VLOOKUP(D869,'Công T5'!$C$7:$F$89,3,0),"")</f>
        <v/>
      </c>
      <c r="N869" s="92" t="str">
        <f t="shared" si="9"/>
        <v/>
      </c>
      <c r="O869" s="92" t="str">
        <f t="shared" si="2"/>
        <v/>
      </c>
      <c r="P869" s="94">
        <f t="shared" si="3"/>
        <v>0</v>
      </c>
      <c r="Q869" s="94" t="str">
        <f t="shared" si="4"/>
        <v/>
      </c>
      <c r="R869" s="95">
        <f t="shared" si="5"/>
        <v>0</v>
      </c>
      <c r="S869" s="95">
        <f t="shared" si="6"/>
        <v>0</v>
      </c>
      <c r="T869" s="95" t="str">
        <f t="shared" si="7"/>
        <v/>
      </c>
    </row>
    <row r="870">
      <c r="A870" s="106"/>
      <c r="B870" s="107"/>
      <c r="C870" s="106"/>
      <c r="D870" s="108"/>
      <c r="E870" s="109"/>
      <c r="F870" s="110"/>
      <c r="G870" s="110"/>
      <c r="H870" s="111"/>
      <c r="I870" s="92" t="str">
        <f>IFERROR(VLOOKUP(D870,'Công T5'!$C$7:$F$89,4,0),"")</f>
        <v/>
      </c>
      <c r="J870" s="92" t="str">
        <f t="shared" si="8"/>
        <v/>
      </c>
      <c r="K870" s="92" t="str">
        <f t="shared" si="10"/>
        <v/>
      </c>
      <c r="L870" s="92" t="str">
        <f>IFERROR(VLOOKUP(D870,'Công T5'!$C$7:$F$89,2,0),"")</f>
        <v/>
      </c>
      <c r="M870" s="92" t="str">
        <f>IFERROR(VLOOKUP(D870,'Công T5'!$C$7:$F$89,3,0),"")</f>
        <v/>
      </c>
      <c r="N870" s="92" t="str">
        <f t="shared" si="9"/>
        <v/>
      </c>
      <c r="O870" s="92" t="str">
        <f t="shared" si="2"/>
        <v/>
      </c>
      <c r="P870" s="94">
        <f t="shared" si="3"/>
        <v>0</v>
      </c>
      <c r="Q870" s="94" t="str">
        <f t="shared" si="4"/>
        <v/>
      </c>
      <c r="R870" s="95">
        <f t="shared" si="5"/>
        <v>0</v>
      </c>
      <c r="S870" s="95">
        <f t="shared" si="6"/>
        <v>0</v>
      </c>
      <c r="T870" s="95" t="str">
        <f t="shared" si="7"/>
        <v/>
      </c>
    </row>
    <row r="871">
      <c r="A871" s="106"/>
      <c r="B871" s="107"/>
      <c r="C871" s="106"/>
      <c r="D871" s="108"/>
      <c r="E871" s="109"/>
      <c r="F871" s="110"/>
      <c r="G871" s="110"/>
      <c r="H871" s="111"/>
      <c r="I871" s="92" t="str">
        <f>IFERROR(VLOOKUP(D871,'Công T5'!$C$7:$F$89,4,0),"")</f>
        <v/>
      </c>
      <c r="J871" s="92" t="str">
        <f t="shared" si="8"/>
        <v/>
      </c>
      <c r="K871" s="92" t="str">
        <f t="shared" si="10"/>
        <v/>
      </c>
      <c r="L871" s="92" t="str">
        <f>IFERROR(VLOOKUP(D871,'Công T5'!$C$7:$F$89,2,0),"")</f>
        <v/>
      </c>
      <c r="M871" s="92" t="str">
        <f>IFERROR(VLOOKUP(D871,'Công T5'!$C$7:$F$89,3,0),"")</f>
        <v/>
      </c>
      <c r="N871" s="92" t="str">
        <f t="shared" si="9"/>
        <v/>
      </c>
      <c r="O871" s="92" t="str">
        <f t="shared" si="2"/>
        <v/>
      </c>
      <c r="P871" s="94">
        <f t="shared" si="3"/>
        <v>0</v>
      </c>
      <c r="Q871" s="94" t="str">
        <f t="shared" si="4"/>
        <v/>
      </c>
      <c r="R871" s="95">
        <f t="shared" si="5"/>
        <v>0</v>
      </c>
      <c r="S871" s="95">
        <f t="shared" si="6"/>
        <v>0</v>
      </c>
      <c r="T871" s="95" t="str">
        <f t="shared" si="7"/>
        <v/>
      </c>
    </row>
    <row r="872">
      <c r="A872" s="106"/>
      <c r="B872" s="107"/>
      <c r="C872" s="106"/>
      <c r="D872" s="108"/>
      <c r="E872" s="109"/>
      <c r="F872" s="110"/>
      <c r="G872" s="110"/>
      <c r="H872" s="111"/>
      <c r="I872" s="92" t="str">
        <f>IFERROR(VLOOKUP(D872,'Công T5'!$C$7:$F$89,4,0),"")</f>
        <v/>
      </c>
      <c r="J872" s="92" t="str">
        <f t="shared" si="8"/>
        <v/>
      </c>
      <c r="K872" s="92" t="str">
        <f t="shared" si="10"/>
        <v/>
      </c>
      <c r="L872" s="92" t="str">
        <f>IFERROR(VLOOKUP(D872,'Công T5'!$C$7:$F$89,2,0),"")</f>
        <v/>
      </c>
      <c r="M872" s="92" t="str">
        <f>IFERROR(VLOOKUP(D872,'Công T5'!$C$7:$F$89,3,0),"")</f>
        <v/>
      </c>
      <c r="N872" s="92" t="str">
        <f t="shared" si="9"/>
        <v/>
      </c>
      <c r="O872" s="92" t="str">
        <f t="shared" si="2"/>
        <v/>
      </c>
      <c r="P872" s="94">
        <f t="shared" si="3"/>
        <v>0</v>
      </c>
      <c r="Q872" s="94" t="str">
        <f t="shared" si="4"/>
        <v/>
      </c>
      <c r="R872" s="95">
        <f t="shared" si="5"/>
        <v>0</v>
      </c>
      <c r="S872" s="95">
        <f t="shared" si="6"/>
        <v>0</v>
      </c>
      <c r="T872" s="95" t="str">
        <f t="shared" si="7"/>
        <v/>
      </c>
    </row>
    <row r="873">
      <c r="A873" s="106"/>
      <c r="B873" s="107"/>
      <c r="C873" s="106"/>
      <c r="D873" s="108"/>
      <c r="E873" s="109"/>
      <c r="F873" s="110"/>
      <c r="G873" s="110"/>
      <c r="H873" s="111"/>
      <c r="I873" s="92" t="str">
        <f>IFERROR(VLOOKUP(D873,'Công T5'!$C$7:$F$89,4,0),"")</f>
        <v/>
      </c>
      <c r="J873" s="92" t="str">
        <f t="shared" si="8"/>
        <v/>
      </c>
      <c r="K873" s="92" t="str">
        <f t="shared" si="10"/>
        <v/>
      </c>
      <c r="L873" s="92" t="str">
        <f>IFERROR(VLOOKUP(D873,'Công T5'!$C$7:$F$89,2,0),"")</f>
        <v/>
      </c>
      <c r="M873" s="92" t="str">
        <f>IFERROR(VLOOKUP(D873,'Công T5'!$C$7:$F$89,3,0),"")</f>
        <v/>
      </c>
      <c r="N873" s="92" t="str">
        <f t="shared" si="9"/>
        <v/>
      </c>
      <c r="O873" s="92" t="str">
        <f t="shared" si="2"/>
        <v/>
      </c>
      <c r="P873" s="94">
        <f t="shared" si="3"/>
        <v>0</v>
      </c>
      <c r="Q873" s="94" t="str">
        <f t="shared" si="4"/>
        <v/>
      </c>
      <c r="R873" s="95">
        <f t="shared" si="5"/>
        <v>0</v>
      </c>
      <c r="S873" s="95">
        <f t="shared" si="6"/>
        <v>0</v>
      </c>
      <c r="T873" s="95" t="str">
        <f t="shared" si="7"/>
        <v/>
      </c>
    </row>
    <row r="874">
      <c r="A874" s="106"/>
      <c r="B874" s="107"/>
      <c r="C874" s="106"/>
      <c r="D874" s="108"/>
      <c r="E874" s="109"/>
      <c r="F874" s="110"/>
      <c r="G874" s="110"/>
      <c r="H874" s="111"/>
      <c r="I874" s="92" t="str">
        <f>IFERROR(VLOOKUP(D874,'Công T5'!$C$7:$F$89,4,0),"")</f>
        <v/>
      </c>
      <c r="J874" s="92" t="str">
        <f t="shared" si="8"/>
        <v/>
      </c>
      <c r="K874" s="92" t="str">
        <f t="shared" si="10"/>
        <v/>
      </c>
      <c r="L874" s="92" t="str">
        <f>IFERROR(VLOOKUP(D874,'Công T5'!$C$7:$F$89,2,0),"")</f>
        <v/>
      </c>
      <c r="M874" s="92" t="str">
        <f>IFERROR(VLOOKUP(D874,'Công T5'!$C$7:$F$89,3,0),"")</f>
        <v/>
      </c>
      <c r="N874" s="92" t="str">
        <f t="shared" si="9"/>
        <v/>
      </c>
      <c r="O874" s="92" t="str">
        <f t="shared" si="2"/>
        <v/>
      </c>
      <c r="P874" s="94">
        <f t="shared" si="3"/>
        <v>0</v>
      </c>
      <c r="Q874" s="94" t="str">
        <f t="shared" si="4"/>
        <v/>
      </c>
      <c r="R874" s="95">
        <f t="shared" si="5"/>
        <v>0</v>
      </c>
      <c r="S874" s="95">
        <f t="shared" si="6"/>
        <v>0</v>
      </c>
      <c r="T874" s="95" t="str">
        <f t="shared" si="7"/>
        <v/>
      </c>
    </row>
    <row r="875">
      <c r="A875" s="106"/>
      <c r="B875" s="107"/>
      <c r="C875" s="106"/>
      <c r="D875" s="108"/>
      <c r="E875" s="109"/>
      <c r="F875" s="110"/>
      <c r="G875" s="110"/>
      <c r="H875" s="111"/>
      <c r="I875" s="92" t="str">
        <f>IFERROR(VLOOKUP(D875,'Công T5'!$C$7:$F$89,4,0),"")</f>
        <v/>
      </c>
      <c r="J875" s="92" t="str">
        <f t="shared" si="8"/>
        <v/>
      </c>
      <c r="K875" s="92" t="str">
        <f t="shared" si="10"/>
        <v/>
      </c>
      <c r="L875" s="92" t="str">
        <f>IFERROR(VLOOKUP(D875,'Công T5'!$C$7:$F$89,2,0),"")</f>
        <v/>
      </c>
      <c r="M875" s="92" t="str">
        <f>IFERROR(VLOOKUP(D875,'Công T5'!$C$7:$F$89,3,0),"")</f>
        <v/>
      </c>
      <c r="N875" s="92" t="str">
        <f t="shared" si="9"/>
        <v/>
      </c>
      <c r="O875" s="92" t="str">
        <f t="shared" si="2"/>
        <v/>
      </c>
      <c r="P875" s="94">
        <f t="shared" si="3"/>
        <v>0</v>
      </c>
      <c r="Q875" s="94" t="str">
        <f t="shared" si="4"/>
        <v/>
      </c>
      <c r="R875" s="95">
        <f t="shared" si="5"/>
        <v>0</v>
      </c>
      <c r="S875" s="95">
        <f t="shared" si="6"/>
        <v>0</v>
      </c>
      <c r="T875" s="95" t="str">
        <f t="shared" si="7"/>
        <v/>
      </c>
    </row>
    <row r="876">
      <c r="A876" s="106"/>
      <c r="B876" s="107"/>
      <c r="C876" s="106"/>
      <c r="D876" s="108"/>
      <c r="E876" s="109"/>
      <c r="F876" s="110"/>
      <c r="G876" s="110"/>
      <c r="H876" s="111"/>
      <c r="I876" s="92" t="str">
        <f>IFERROR(VLOOKUP(D876,'Công T5'!$C$7:$F$89,4,0),"")</f>
        <v/>
      </c>
      <c r="J876" s="92" t="str">
        <f t="shared" si="8"/>
        <v/>
      </c>
      <c r="K876" s="92" t="str">
        <f t="shared" si="10"/>
        <v/>
      </c>
      <c r="L876" s="92" t="str">
        <f>IFERROR(VLOOKUP(D876,'Công T5'!$C$7:$F$89,2,0),"")</f>
        <v/>
      </c>
      <c r="M876" s="92" t="str">
        <f>IFERROR(VLOOKUP(D876,'Công T5'!$C$7:$F$89,3,0),"")</f>
        <v/>
      </c>
      <c r="N876" s="92" t="str">
        <f t="shared" si="9"/>
        <v/>
      </c>
      <c r="O876" s="92" t="str">
        <f t="shared" si="2"/>
        <v/>
      </c>
      <c r="P876" s="94">
        <f t="shared" si="3"/>
        <v>0</v>
      </c>
      <c r="Q876" s="94" t="str">
        <f t="shared" si="4"/>
        <v/>
      </c>
      <c r="R876" s="95">
        <f t="shared" si="5"/>
        <v>0</v>
      </c>
      <c r="S876" s="95">
        <f t="shared" si="6"/>
        <v>0</v>
      </c>
      <c r="T876" s="95" t="str">
        <f t="shared" si="7"/>
        <v/>
      </c>
    </row>
    <row r="877">
      <c r="A877" s="106"/>
      <c r="B877" s="107"/>
      <c r="C877" s="106"/>
      <c r="D877" s="108"/>
      <c r="E877" s="109"/>
      <c r="F877" s="110"/>
      <c r="G877" s="110"/>
      <c r="H877" s="111"/>
      <c r="I877" s="92" t="str">
        <f>IFERROR(VLOOKUP(D877,'Công T5'!$C$7:$F$89,4,0),"")</f>
        <v/>
      </c>
      <c r="J877" s="92" t="str">
        <f t="shared" si="8"/>
        <v/>
      </c>
      <c r="K877" s="92" t="str">
        <f t="shared" si="10"/>
        <v/>
      </c>
      <c r="L877" s="92" t="str">
        <f>IFERROR(VLOOKUP(D877,'Công T5'!$C$7:$F$89,2,0),"")</f>
        <v/>
      </c>
      <c r="M877" s="92" t="str">
        <f>IFERROR(VLOOKUP(D877,'Công T5'!$C$7:$F$89,3,0),"")</f>
        <v/>
      </c>
      <c r="N877" s="92" t="str">
        <f t="shared" si="9"/>
        <v/>
      </c>
      <c r="O877" s="92" t="str">
        <f t="shared" si="2"/>
        <v/>
      </c>
      <c r="P877" s="94">
        <f t="shared" si="3"/>
        <v>0</v>
      </c>
      <c r="Q877" s="94" t="str">
        <f t="shared" si="4"/>
        <v/>
      </c>
      <c r="R877" s="95">
        <f t="shared" si="5"/>
        <v>0</v>
      </c>
      <c r="S877" s="95">
        <f t="shared" si="6"/>
        <v>0</v>
      </c>
      <c r="T877" s="95" t="str">
        <f t="shared" si="7"/>
        <v/>
      </c>
    </row>
    <row r="878">
      <c r="A878" s="106"/>
      <c r="B878" s="107"/>
      <c r="C878" s="106"/>
      <c r="D878" s="108"/>
      <c r="E878" s="109"/>
      <c r="F878" s="110"/>
      <c r="G878" s="110"/>
      <c r="H878" s="111"/>
      <c r="I878" s="92" t="str">
        <f>IFERROR(VLOOKUP(D878,'Công T5'!$C$7:$F$89,4,0),"")</f>
        <v/>
      </c>
      <c r="J878" s="92" t="str">
        <f t="shared" si="8"/>
        <v/>
      </c>
      <c r="K878" s="92" t="str">
        <f t="shared" si="10"/>
        <v/>
      </c>
      <c r="L878" s="92" t="str">
        <f>IFERROR(VLOOKUP(D878,'Công T5'!$C$7:$F$89,2,0),"")</f>
        <v/>
      </c>
      <c r="M878" s="92" t="str">
        <f>IFERROR(VLOOKUP(D878,'Công T5'!$C$7:$F$89,3,0),"")</f>
        <v/>
      </c>
      <c r="N878" s="92" t="str">
        <f t="shared" si="9"/>
        <v/>
      </c>
      <c r="O878" s="92" t="str">
        <f t="shared" si="2"/>
        <v/>
      </c>
      <c r="P878" s="94">
        <f t="shared" si="3"/>
        <v>0</v>
      </c>
      <c r="Q878" s="94" t="str">
        <f t="shared" si="4"/>
        <v/>
      </c>
      <c r="R878" s="95">
        <f t="shared" si="5"/>
        <v>0</v>
      </c>
      <c r="S878" s="95">
        <f t="shared" si="6"/>
        <v>0</v>
      </c>
      <c r="T878" s="95" t="str">
        <f t="shared" si="7"/>
        <v/>
      </c>
    </row>
    <row r="879">
      <c r="A879" s="106"/>
      <c r="B879" s="107"/>
      <c r="C879" s="106"/>
      <c r="D879" s="108"/>
      <c r="E879" s="109"/>
      <c r="F879" s="110"/>
      <c r="G879" s="110"/>
      <c r="H879" s="111"/>
      <c r="I879" s="92" t="str">
        <f>IFERROR(VLOOKUP(D879,'Công T5'!$C$7:$F$89,4,0),"")</f>
        <v/>
      </c>
      <c r="J879" s="92" t="str">
        <f t="shared" si="8"/>
        <v/>
      </c>
      <c r="K879" s="92" t="str">
        <f t="shared" si="10"/>
        <v/>
      </c>
      <c r="L879" s="92" t="str">
        <f>IFERROR(VLOOKUP(D879,'Công T5'!$C$7:$F$89,2,0),"")</f>
        <v/>
      </c>
      <c r="M879" s="92" t="str">
        <f>IFERROR(VLOOKUP(D879,'Công T5'!$C$7:$F$89,3,0),"")</f>
        <v/>
      </c>
      <c r="N879" s="92" t="str">
        <f t="shared" si="9"/>
        <v/>
      </c>
      <c r="O879" s="92" t="str">
        <f t="shared" si="2"/>
        <v/>
      </c>
      <c r="P879" s="94">
        <f t="shared" si="3"/>
        <v>0</v>
      </c>
      <c r="Q879" s="94" t="str">
        <f t="shared" si="4"/>
        <v/>
      </c>
      <c r="R879" s="95">
        <f t="shared" si="5"/>
        <v>0</v>
      </c>
      <c r="S879" s="95">
        <f t="shared" si="6"/>
        <v>0</v>
      </c>
      <c r="T879" s="95" t="str">
        <f t="shared" si="7"/>
        <v/>
      </c>
    </row>
    <row r="880">
      <c r="A880" s="106"/>
      <c r="B880" s="107"/>
      <c r="C880" s="106"/>
      <c r="D880" s="108"/>
      <c r="E880" s="109"/>
      <c r="F880" s="110"/>
      <c r="G880" s="110"/>
      <c r="H880" s="111"/>
      <c r="I880" s="92" t="str">
        <f>IFERROR(VLOOKUP(D880,'Công T5'!$C$7:$F$89,4,0),"")</f>
        <v/>
      </c>
      <c r="J880" s="92" t="str">
        <f t="shared" si="8"/>
        <v/>
      </c>
      <c r="K880" s="92" t="str">
        <f t="shared" si="10"/>
        <v/>
      </c>
      <c r="L880" s="92" t="str">
        <f>IFERROR(VLOOKUP(D880,'Công T5'!$C$7:$F$89,2,0),"")</f>
        <v/>
      </c>
      <c r="M880" s="92" t="str">
        <f>IFERROR(VLOOKUP(D880,'Công T5'!$C$7:$F$89,3,0),"")</f>
        <v/>
      </c>
      <c r="N880" s="92" t="str">
        <f t="shared" si="9"/>
        <v/>
      </c>
      <c r="O880" s="92" t="str">
        <f t="shared" si="2"/>
        <v/>
      </c>
      <c r="P880" s="94">
        <f t="shared" si="3"/>
        <v>0</v>
      </c>
      <c r="Q880" s="94" t="str">
        <f t="shared" si="4"/>
        <v/>
      </c>
      <c r="R880" s="95">
        <f t="shared" si="5"/>
        <v>0</v>
      </c>
      <c r="S880" s="95">
        <f t="shared" si="6"/>
        <v>0</v>
      </c>
      <c r="T880" s="95" t="str">
        <f t="shared" si="7"/>
        <v/>
      </c>
    </row>
    <row r="881">
      <c r="A881" s="106"/>
      <c r="B881" s="107"/>
      <c r="C881" s="106"/>
      <c r="D881" s="108"/>
      <c r="E881" s="109"/>
      <c r="F881" s="110"/>
      <c r="G881" s="110"/>
      <c r="H881" s="111"/>
      <c r="I881" s="92" t="str">
        <f>IFERROR(VLOOKUP(D881,'Công T5'!$C$7:$F$89,4,0),"")</f>
        <v/>
      </c>
      <c r="J881" s="92" t="str">
        <f t="shared" si="8"/>
        <v/>
      </c>
      <c r="K881" s="92" t="str">
        <f t="shared" si="10"/>
        <v/>
      </c>
      <c r="L881" s="92" t="str">
        <f>IFERROR(VLOOKUP(D881,'Công T5'!$C$7:$F$89,2,0),"")</f>
        <v/>
      </c>
      <c r="M881" s="92" t="str">
        <f>IFERROR(VLOOKUP(D881,'Công T5'!$C$7:$F$89,3,0),"")</f>
        <v/>
      </c>
      <c r="N881" s="92" t="str">
        <f t="shared" si="9"/>
        <v/>
      </c>
      <c r="O881" s="92" t="str">
        <f t="shared" si="2"/>
        <v/>
      </c>
      <c r="P881" s="94">
        <f t="shared" si="3"/>
        <v>0</v>
      </c>
      <c r="Q881" s="94" t="str">
        <f t="shared" si="4"/>
        <v/>
      </c>
      <c r="R881" s="95">
        <f t="shared" si="5"/>
        <v>0</v>
      </c>
      <c r="S881" s="95">
        <f t="shared" si="6"/>
        <v>0</v>
      </c>
      <c r="T881" s="95" t="str">
        <f t="shared" si="7"/>
        <v/>
      </c>
    </row>
    <row r="882">
      <c r="A882" s="106"/>
      <c r="B882" s="107"/>
      <c r="C882" s="106"/>
      <c r="D882" s="108"/>
      <c r="E882" s="109"/>
      <c r="F882" s="110"/>
      <c r="G882" s="110"/>
      <c r="H882" s="111"/>
      <c r="I882" s="92" t="str">
        <f>IFERROR(VLOOKUP(D882,'Công T5'!$C$7:$F$89,4,0),"")</f>
        <v/>
      </c>
      <c r="J882" s="92" t="str">
        <f t="shared" si="8"/>
        <v/>
      </c>
      <c r="K882" s="92" t="str">
        <f t="shared" si="10"/>
        <v/>
      </c>
      <c r="L882" s="92" t="str">
        <f>IFERROR(VLOOKUP(D882,'Công T5'!$C$7:$F$89,2,0),"")</f>
        <v/>
      </c>
      <c r="M882" s="92" t="str">
        <f>IFERROR(VLOOKUP(D882,'Công T5'!$C$7:$F$89,3,0),"")</f>
        <v/>
      </c>
      <c r="N882" s="92" t="str">
        <f t="shared" si="9"/>
        <v/>
      </c>
      <c r="O882" s="92" t="str">
        <f t="shared" si="2"/>
        <v/>
      </c>
      <c r="P882" s="94">
        <f t="shared" si="3"/>
        <v>0</v>
      </c>
      <c r="Q882" s="94" t="str">
        <f t="shared" si="4"/>
        <v/>
      </c>
      <c r="R882" s="95">
        <f t="shared" si="5"/>
        <v>0</v>
      </c>
      <c r="S882" s="95">
        <f t="shared" si="6"/>
        <v>0</v>
      </c>
      <c r="T882" s="95" t="str">
        <f t="shared" si="7"/>
        <v/>
      </c>
    </row>
    <row r="883">
      <c r="A883" s="106"/>
      <c r="B883" s="107"/>
      <c r="C883" s="106"/>
      <c r="D883" s="108"/>
      <c r="E883" s="109"/>
      <c r="F883" s="110"/>
      <c r="G883" s="110"/>
      <c r="H883" s="111"/>
      <c r="I883" s="92" t="str">
        <f>IFERROR(VLOOKUP(D883,'Công T5'!$C$7:$F$89,4,0),"")</f>
        <v/>
      </c>
      <c r="J883" s="92" t="str">
        <f t="shared" si="8"/>
        <v/>
      </c>
      <c r="K883" s="92" t="str">
        <f t="shared" si="10"/>
        <v/>
      </c>
      <c r="L883" s="92" t="str">
        <f>IFERROR(VLOOKUP(D883,'Công T5'!$C$7:$F$89,2,0),"")</f>
        <v/>
      </c>
      <c r="M883" s="92" t="str">
        <f>IFERROR(VLOOKUP(D883,'Công T5'!$C$7:$F$89,3,0),"")</f>
        <v/>
      </c>
      <c r="N883" s="92" t="str">
        <f t="shared" si="9"/>
        <v/>
      </c>
      <c r="O883" s="92" t="str">
        <f t="shared" si="2"/>
        <v/>
      </c>
      <c r="P883" s="94">
        <f t="shared" si="3"/>
        <v>0</v>
      </c>
      <c r="Q883" s="94" t="str">
        <f t="shared" si="4"/>
        <v/>
      </c>
      <c r="R883" s="95">
        <f t="shared" si="5"/>
        <v>0</v>
      </c>
      <c r="S883" s="95">
        <f t="shared" si="6"/>
        <v>0</v>
      </c>
      <c r="T883" s="95" t="str">
        <f t="shared" si="7"/>
        <v/>
      </c>
    </row>
    <row r="884">
      <c r="A884" s="106"/>
      <c r="B884" s="107"/>
      <c r="C884" s="106"/>
      <c r="D884" s="108"/>
      <c r="E884" s="109"/>
      <c r="F884" s="110"/>
      <c r="G884" s="110"/>
      <c r="H884" s="111"/>
      <c r="I884" s="92" t="str">
        <f>IFERROR(VLOOKUP(D884,'Công T5'!$C$7:$F$89,4,0),"")</f>
        <v/>
      </c>
      <c r="J884" s="92" t="str">
        <f t="shared" si="8"/>
        <v/>
      </c>
      <c r="K884" s="92" t="str">
        <f t="shared" si="10"/>
        <v/>
      </c>
      <c r="L884" s="92" t="str">
        <f>IFERROR(VLOOKUP(D884,'Công T5'!$C$7:$F$89,2,0),"")</f>
        <v/>
      </c>
      <c r="M884" s="92" t="str">
        <f>IFERROR(VLOOKUP(D884,'Công T5'!$C$7:$F$89,3,0),"")</f>
        <v/>
      </c>
      <c r="N884" s="92" t="str">
        <f t="shared" si="9"/>
        <v/>
      </c>
      <c r="O884" s="92" t="str">
        <f t="shared" si="2"/>
        <v/>
      </c>
      <c r="P884" s="94">
        <f t="shared" si="3"/>
        <v>0</v>
      </c>
      <c r="Q884" s="94" t="str">
        <f t="shared" si="4"/>
        <v/>
      </c>
      <c r="R884" s="95">
        <f t="shared" si="5"/>
        <v>0</v>
      </c>
      <c r="S884" s="95">
        <f t="shared" si="6"/>
        <v>0</v>
      </c>
      <c r="T884" s="95" t="str">
        <f t="shared" si="7"/>
        <v/>
      </c>
    </row>
    <row r="885">
      <c r="A885" s="106"/>
      <c r="B885" s="107"/>
      <c r="C885" s="106"/>
      <c r="D885" s="108"/>
      <c r="E885" s="109"/>
      <c r="F885" s="110"/>
      <c r="G885" s="110"/>
      <c r="H885" s="111"/>
      <c r="I885" s="92" t="str">
        <f>IFERROR(VLOOKUP(D885,'Công T5'!$C$7:$F$89,4,0),"")</f>
        <v/>
      </c>
      <c r="J885" s="92" t="str">
        <f t="shared" si="8"/>
        <v/>
      </c>
      <c r="K885" s="92" t="str">
        <f t="shared" si="10"/>
        <v/>
      </c>
      <c r="L885" s="92" t="str">
        <f>IFERROR(VLOOKUP(D885,'Công T5'!$C$7:$F$89,2,0),"")</f>
        <v/>
      </c>
      <c r="M885" s="92" t="str">
        <f>IFERROR(VLOOKUP(D885,'Công T5'!$C$7:$F$89,3,0),"")</f>
        <v/>
      </c>
      <c r="N885" s="92" t="str">
        <f t="shared" si="9"/>
        <v/>
      </c>
      <c r="O885" s="92" t="str">
        <f t="shared" si="2"/>
        <v/>
      </c>
      <c r="P885" s="94">
        <f t="shared" si="3"/>
        <v>0</v>
      </c>
      <c r="Q885" s="94" t="str">
        <f t="shared" si="4"/>
        <v/>
      </c>
      <c r="R885" s="95">
        <f t="shared" si="5"/>
        <v>0</v>
      </c>
      <c r="S885" s="95">
        <f t="shared" si="6"/>
        <v>0</v>
      </c>
      <c r="T885" s="95" t="str">
        <f t="shared" si="7"/>
        <v/>
      </c>
    </row>
    <row r="886">
      <c r="A886" s="106"/>
      <c r="B886" s="107"/>
      <c r="C886" s="106"/>
      <c r="D886" s="108"/>
      <c r="E886" s="109"/>
      <c r="F886" s="110"/>
      <c r="G886" s="110"/>
      <c r="H886" s="111"/>
      <c r="I886" s="92" t="str">
        <f>IFERROR(VLOOKUP(D886,'Công T5'!$C$7:$F$89,4,0),"")</f>
        <v/>
      </c>
      <c r="J886" s="92" t="str">
        <f t="shared" si="8"/>
        <v/>
      </c>
      <c r="K886" s="92" t="str">
        <f t="shared" si="10"/>
        <v/>
      </c>
      <c r="L886" s="92" t="str">
        <f>IFERROR(VLOOKUP(D886,'Công T5'!$C$7:$F$89,2,0),"")</f>
        <v/>
      </c>
      <c r="M886" s="92" t="str">
        <f>IFERROR(VLOOKUP(D886,'Công T5'!$C$7:$F$89,3,0),"")</f>
        <v/>
      </c>
      <c r="N886" s="92" t="str">
        <f t="shared" si="9"/>
        <v/>
      </c>
      <c r="O886" s="92" t="str">
        <f t="shared" si="2"/>
        <v/>
      </c>
      <c r="P886" s="94">
        <f t="shared" si="3"/>
        <v>0</v>
      </c>
      <c r="Q886" s="94" t="str">
        <f t="shared" si="4"/>
        <v/>
      </c>
      <c r="R886" s="95">
        <f t="shared" si="5"/>
        <v>0</v>
      </c>
      <c r="S886" s="95">
        <f t="shared" si="6"/>
        <v>0</v>
      </c>
      <c r="T886" s="95" t="str">
        <f t="shared" si="7"/>
        <v/>
      </c>
    </row>
    <row r="887">
      <c r="A887" s="106"/>
      <c r="B887" s="107"/>
      <c r="C887" s="106"/>
      <c r="D887" s="108"/>
      <c r="E887" s="109"/>
      <c r="F887" s="110"/>
      <c r="G887" s="110"/>
      <c r="H887" s="111"/>
      <c r="I887" s="92" t="str">
        <f>IFERROR(VLOOKUP(D887,'Công T5'!$C$7:$F$89,4,0),"")</f>
        <v/>
      </c>
      <c r="J887" s="92" t="str">
        <f t="shared" si="8"/>
        <v/>
      </c>
      <c r="K887" s="92" t="str">
        <f t="shared" si="10"/>
        <v/>
      </c>
      <c r="L887" s="92" t="str">
        <f>IFERROR(VLOOKUP(D887,'Công T5'!$C$7:$F$89,2,0),"")</f>
        <v/>
      </c>
      <c r="M887" s="92" t="str">
        <f>IFERROR(VLOOKUP(D887,'Công T5'!$C$7:$F$89,3,0),"")</f>
        <v/>
      </c>
      <c r="N887" s="92" t="str">
        <f t="shared" si="9"/>
        <v/>
      </c>
      <c r="O887" s="92" t="str">
        <f t="shared" si="2"/>
        <v/>
      </c>
      <c r="P887" s="94">
        <f t="shared" si="3"/>
        <v>0</v>
      </c>
      <c r="Q887" s="94" t="str">
        <f t="shared" si="4"/>
        <v/>
      </c>
      <c r="R887" s="95">
        <f t="shared" si="5"/>
        <v>0</v>
      </c>
      <c r="S887" s="95">
        <f t="shared" si="6"/>
        <v>0</v>
      </c>
      <c r="T887" s="95" t="str">
        <f t="shared" si="7"/>
        <v/>
      </c>
    </row>
    <row r="888">
      <c r="A888" s="106"/>
      <c r="B888" s="107"/>
      <c r="C888" s="106"/>
      <c r="D888" s="108"/>
      <c r="E888" s="109"/>
      <c r="F888" s="110"/>
      <c r="G888" s="110"/>
      <c r="H888" s="111"/>
      <c r="I888" s="92" t="str">
        <f>IFERROR(VLOOKUP(D888,'Công T5'!$C$7:$F$89,4,0),"")</f>
        <v/>
      </c>
      <c r="J888" s="92" t="str">
        <f t="shared" si="8"/>
        <v/>
      </c>
      <c r="K888" s="92" t="str">
        <f t="shared" si="10"/>
        <v/>
      </c>
      <c r="L888" s="92" t="str">
        <f>IFERROR(VLOOKUP(D888,'Công T5'!$C$7:$F$89,2,0),"")</f>
        <v/>
      </c>
      <c r="M888" s="92" t="str">
        <f>IFERROR(VLOOKUP(D888,'Công T5'!$C$7:$F$89,3,0),"")</f>
        <v/>
      </c>
      <c r="N888" s="92" t="str">
        <f t="shared" si="9"/>
        <v/>
      </c>
      <c r="O888" s="92" t="str">
        <f t="shared" si="2"/>
        <v/>
      </c>
      <c r="P888" s="94">
        <f t="shared" si="3"/>
        <v>0</v>
      </c>
      <c r="Q888" s="94" t="str">
        <f t="shared" si="4"/>
        <v/>
      </c>
      <c r="R888" s="95">
        <f t="shared" si="5"/>
        <v>0</v>
      </c>
      <c r="S888" s="95">
        <f t="shared" si="6"/>
        <v>0</v>
      </c>
      <c r="T888" s="95" t="str">
        <f t="shared" si="7"/>
        <v/>
      </c>
    </row>
    <row r="889">
      <c r="A889" s="106"/>
      <c r="B889" s="107"/>
      <c r="C889" s="106"/>
      <c r="D889" s="108"/>
      <c r="E889" s="109"/>
      <c r="F889" s="110"/>
      <c r="G889" s="110"/>
      <c r="H889" s="111"/>
      <c r="I889" s="92" t="str">
        <f>IFERROR(VLOOKUP(D889,'Công T5'!$C$7:$F$89,4,0),"")</f>
        <v/>
      </c>
      <c r="J889" s="92" t="str">
        <f t="shared" si="8"/>
        <v/>
      </c>
      <c r="K889" s="92" t="str">
        <f t="shared" si="10"/>
        <v/>
      </c>
      <c r="L889" s="92" t="str">
        <f>IFERROR(VLOOKUP(D889,'Công T5'!$C$7:$F$89,2,0),"")</f>
        <v/>
      </c>
      <c r="M889" s="92" t="str">
        <f>IFERROR(VLOOKUP(D889,'Công T5'!$C$7:$F$89,3,0),"")</f>
        <v/>
      </c>
      <c r="N889" s="92" t="str">
        <f t="shared" si="9"/>
        <v/>
      </c>
      <c r="O889" s="92" t="str">
        <f t="shared" si="2"/>
        <v/>
      </c>
      <c r="P889" s="94">
        <f t="shared" si="3"/>
        <v>0</v>
      </c>
      <c r="Q889" s="94" t="str">
        <f t="shared" si="4"/>
        <v/>
      </c>
      <c r="R889" s="95">
        <f t="shared" si="5"/>
        <v>0</v>
      </c>
      <c r="S889" s="95">
        <f t="shared" si="6"/>
        <v>0</v>
      </c>
      <c r="T889" s="95" t="str">
        <f t="shared" si="7"/>
        <v/>
      </c>
    </row>
    <row r="890">
      <c r="A890" s="106"/>
      <c r="B890" s="107"/>
      <c r="C890" s="106"/>
      <c r="D890" s="108"/>
      <c r="E890" s="109"/>
      <c r="F890" s="110"/>
      <c r="G890" s="110"/>
      <c r="H890" s="111"/>
      <c r="I890" s="92" t="str">
        <f>IFERROR(VLOOKUP(D890,'Công T5'!$C$7:$F$89,4,0),"")</f>
        <v/>
      </c>
      <c r="J890" s="92" t="str">
        <f t="shared" si="8"/>
        <v/>
      </c>
      <c r="K890" s="92" t="str">
        <f t="shared" si="10"/>
        <v/>
      </c>
      <c r="L890" s="92" t="str">
        <f>IFERROR(VLOOKUP(D890,'Công T5'!$C$7:$F$89,2,0),"")</f>
        <v/>
      </c>
      <c r="M890" s="92" t="str">
        <f>IFERROR(VLOOKUP(D890,'Công T5'!$C$7:$F$89,3,0),"")</f>
        <v/>
      </c>
      <c r="N890" s="92" t="str">
        <f t="shared" si="9"/>
        <v/>
      </c>
      <c r="O890" s="92" t="str">
        <f t="shared" si="2"/>
        <v/>
      </c>
      <c r="P890" s="94">
        <f t="shared" si="3"/>
        <v>0</v>
      </c>
      <c r="Q890" s="94" t="str">
        <f t="shared" si="4"/>
        <v/>
      </c>
      <c r="R890" s="95">
        <f t="shared" si="5"/>
        <v>0</v>
      </c>
      <c r="S890" s="95">
        <f t="shared" si="6"/>
        <v>0</v>
      </c>
      <c r="T890" s="95" t="str">
        <f t="shared" si="7"/>
        <v/>
      </c>
    </row>
    <row r="891">
      <c r="A891" s="106"/>
      <c r="B891" s="107"/>
      <c r="C891" s="106"/>
      <c r="D891" s="108"/>
      <c r="E891" s="109"/>
      <c r="F891" s="110"/>
      <c r="G891" s="110"/>
      <c r="H891" s="111"/>
      <c r="I891" s="92" t="str">
        <f>IFERROR(VLOOKUP(D891,'Công T5'!$C$7:$F$89,4,0),"")</f>
        <v/>
      </c>
      <c r="J891" s="92" t="str">
        <f t="shared" si="8"/>
        <v/>
      </c>
      <c r="K891" s="92" t="str">
        <f t="shared" si="10"/>
        <v/>
      </c>
      <c r="L891" s="92" t="str">
        <f>IFERROR(VLOOKUP(D891,'Công T5'!$C$7:$F$89,2,0),"")</f>
        <v/>
      </c>
      <c r="M891" s="92" t="str">
        <f>IFERROR(VLOOKUP(D891,'Công T5'!$C$7:$F$89,3,0),"")</f>
        <v/>
      </c>
      <c r="N891" s="92" t="str">
        <f t="shared" si="9"/>
        <v/>
      </c>
      <c r="O891" s="92" t="str">
        <f t="shared" si="2"/>
        <v/>
      </c>
      <c r="P891" s="94">
        <f t="shared" si="3"/>
        <v>0</v>
      </c>
      <c r="Q891" s="94" t="str">
        <f t="shared" si="4"/>
        <v/>
      </c>
      <c r="R891" s="95">
        <f t="shared" si="5"/>
        <v>0</v>
      </c>
      <c r="S891" s="95">
        <f t="shared" si="6"/>
        <v>0</v>
      </c>
      <c r="T891" s="95" t="str">
        <f t="shared" si="7"/>
        <v/>
      </c>
    </row>
    <row r="892">
      <c r="A892" s="106"/>
      <c r="B892" s="107"/>
      <c r="C892" s="106"/>
      <c r="D892" s="108"/>
      <c r="E892" s="109"/>
      <c r="F892" s="110"/>
      <c r="G892" s="110"/>
      <c r="H892" s="111"/>
      <c r="I892" s="92" t="str">
        <f>IFERROR(VLOOKUP(D892,'Công T5'!$C$7:$F$89,4,0),"")</f>
        <v/>
      </c>
      <c r="J892" s="92" t="str">
        <f t="shared" si="8"/>
        <v/>
      </c>
      <c r="K892" s="92" t="str">
        <f t="shared" si="10"/>
        <v/>
      </c>
      <c r="L892" s="92" t="str">
        <f>IFERROR(VLOOKUP(D892,'Công T5'!$C$7:$F$89,2,0),"")</f>
        <v/>
      </c>
      <c r="M892" s="92" t="str">
        <f>IFERROR(VLOOKUP(D892,'Công T5'!$C$7:$F$89,3,0),"")</f>
        <v/>
      </c>
      <c r="N892" s="92" t="str">
        <f t="shared" si="9"/>
        <v/>
      </c>
      <c r="O892" s="92" t="str">
        <f t="shared" si="2"/>
        <v/>
      </c>
      <c r="P892" s="94">
        <f t="shared" si="3"/>
        <v>0</v>
      </c>
      <c r="Q892" s="94" t="str">
        <f t="shared" si="4"/>
        <v/>
      </c>
      <c r="R892" s="95">
        <f t="shared" si="5"/>
        <v>0</v>
      </c>
      <c r="S892" s="95">
        <f t="shared" si="6"/>
        <v>0</v>
      </c>
      <c r="T892" s="95" t="str">
        <f t="shared" si="7"/>
        <v/>
      </c>
    </row>
    <row r="893">
      <c r="A893" s="106"/>
      <c r="B893" s="107"/>
      <c r="C893" s="106"/>
      <c r="D893" s="108"/>
      <c r="E893" s="109"/>
      <c r="F893" s="110"/>
      <c r="G893" s="110"/>
      <c r="H893" s="111"/>
      <c r="I893" s="92" t="str">
        <f>IFERROR(VLOOKUP(D893,'Công T5'!$C$7:$F$89,4,0),"")</f>
        <v/>
      </c>
      <c r="J893" s="92" t="str">
        <f t="shared" si="8"/>
        <v/>
      </c>
      <c r="K893" s="92" t="str">
        <f t="shared" si="10"/>
        <v/>
      </c>
      <c r="L893" s="92" t="str">
        <f>IFERROR(VLOOKUP(D893,'Công T5'!$C$7:$F$89,2,0),"")</f>
        <v/>
      </c>
      <c r="M893" s="92" t="str">
        <f>IFERROR(VLOOKUP(D893,'Công T5'!$C$7:$F$89,3,0),"")</f>
        <v/>
      </c>
      <c r="N893" s="92" t="str">
        <f t="shared" si="9"/>
        <v/>
      </c>
      <c r="O893" s="92" t="str">
        <f t="shared" si="2"/>
        <v/>
      </c>
      <c r="P893" s="94">
        <f t="shared" si="3"/>
        <v>0</v>
      </c>
      <c r="Q893" s="94" t="str">
        <f t="shared" si="4"/>
        <v/>
      </c>
      <c r="R893" s="95">
        <f t="shared" si="5"/>
        <v>0</v>
      </c>
      <c r="S893" s="95">
        <f t="shared" si="6"/>
        <v>0</v>
      </c>
      <c r="T893" s="95" t="str">
        <f t="shared" si="7"/>
        <v/>
      </c>
    </row>
    <row r="894">
      <c r="A894" s="106"/>
      <c r="B894" s="107"/>
      <c r="C894" s="106"/>
      <c r="D894" s="108"/>
      <c r="E894" s="109"/>
      <c r="F894" s="110"/>
      <c r="G894" s="110"/>
      <c r="H894" s="111"/>
      <c r="I894" s="92" t="str">
        <f>IFERROR(VLOOKUP(D894,'Công T5'!$C$7:$F$89,4,0),"")</f>
        <v/>
      </c>
      <c r="J894" s="92" t="str">
        <f t="shared" si="8"/>
        <v/>
      </c>
      <c r="K894" s="92" t="str">
        <f t="shared" si="10"/>
        <v/>
      </c>
      <c r="L894" s="92" t="str">
        <f>IFERROR(VLOOKUP(D894,'Công T5'!$C$7:$F$89,2,0),"")</f>
        <v/>
      </c>
      <c r="M894" s="92" t="str">
        <f>IFERROR(VLOOKUP(D894,'Công T5'!$C$7:$F$89,3,0),"")</f>
        <v/>
      </c>
      <c r="N894" s="92" t="str">
        <f t="shared" si="9"/>
        <v/>
      </c>
      <c r="O894" s="92" t="str">
        <f t="shared" si="2"/>
        <v/>
      </c>
      <c r="P894" s="94">
        <f t="shared" si="3"/>
        <v>0</v>
      </c>
      <c r="Q894" s="94" t="str">
        <f t="shared" si="4"/>
        <v/>
      </c>
      <c r="R894" s="95">
        <f t="shared" si="5"/>
        <v>0</v>
      </c>
      <c r="S894" s="95">
        <f t="shared" si="6"/>
        <v>0</v>
      </c>
      <c r="T894" s="95" t="str">
        <f t="shared" si="7"/>
        <v/>
      </c>
    </row>
    <row r="895">
      <c r="A895" s="106"/>
      <c r="B895" s="107"/>
      <c r="C895" s="106"/>
      <c r="D895" s="108"/>
      <c r="E895" s="109"/>
      <c r="F895" s="110"/>
      <c r="G895" s="110"/>
      <c r="H895" s="111"/>
      <c r="I895" s="92" t="str">
        <f>IFERROR(VLOOKUP(D895,'Công T5'!$C$7:$F$89,4,0),"")</f>
        <v/>
      </c>
      <c r="J895" s="92" t="str">
        <f t="shared" si="8"/>
        <v/>
      </c>
      <c r="K895" s="92" t="str">
        <f t="shared" si="10"/>
        <v/>
      </c>
      <c r="L895" s="92" t="str">
        <f>IFERROR(VLOOKUP(D895,'Công T5'!$C$7:$F$89,2,0),"")</f>
        <v/>
      </c>
      <c r="M895" s="92" t="str">
        <f>IFERROR(VLOOKUP(D895,'Công T5'!$C$7:$F$89,3,0),"")</f>
        <v/>
      </c>
      <c r="N895" s="92" t="str">
        <f t="shared" si="9"/>
        <v/>
      </c>
      <c r="O895" s="92" t="str">
        <f t="shared" si="2"/>
        <v/>
      </c>
      <c r="P895" s="94">
        <f t="shared" si="3"/>
        <v>0</v>
      </c>
      <c r="Q895" s="94" t="str">
        <f t="shared" si="4"/>
        <v/>
      </c>
      <c r="R895" s="95">
        <f t="shared" si="5"/>
        <v>0</v>
      </c>
      <c r="S895" s="95">
        <f t="shared" si="6"/>
        <v>0</v>
      </c>
      <c r="T895" s="95" t="str">
        <f t="shared" si="7"/>
        <v/>
      </c>
    </row>
    <row r="896">
      <c r="A896" s="106"/>
      <c r="B896" s="107"/>
      <c r="C896" s="106"/>
      <c r="D896" s="108"/>
      <c r="E896" s="109"/>
      <c r="F896" s="110"/>
      <c r="G896" s="110"/>
      <c r="H896" s="111"/>
      <c r="I896" s="92" t="str">
        <f>IFERROR(VLOOKUP(D896,'Công T5'!$C$7:$F$89,4,0),"")</f>
        <v/>
      </c>
      <c r="J896" s="92" t="str">
        <f t="shared" si="8"/>
        <v/>
      </c>
      <c r="K896" s="92" t="str">
        <f t="shared" si="10"/>
        <v/>
      </c>
      <c r="L896" s="92" t="str">
        <f>IFERROR(VLOOKUP(D896,'Công T5'!$C$7:$F$89,2,0),"")</f>
        <v/>
      </c>
      <c r="M896" s="92" t="str">
        <f>IFERROR(VLOOKUP(D896,'Công T5'!$C$7:$F$89,3,0),"")</f>
        <v/>
      </c>
      <c r="N896" s="92" t="str">
        <f t="shared" si="9"/>
        <v/>
      </c>
      <c r="O896" s="92" t="str">
        <f t="shared" si="2"/>
        <v/>
      </c>
      <c r="P896" s="94">
        <f t="shared" si="3"/>
        <v>0</v>
      </c>
      <c r="Q896" s="94" t="str">
        <f t="shared" si="4"/>
        <v/>
      </c>
      <c r="R896" s="95">
        <f t="shared" si="5"/>
        <v>0</v>
      </c>
      <c r="S896" s="95">
        <f t="shared" si="6"/>
        <v>0</v>
      </c>
      <c r="T896" s="95" t="str">
        <f t="shared" si="7"/>
        <v/>
      </c>
    </row>
    <row r="897">
      <c r="A897" s="106"/>
      <c r="B897" s="107"/>
      <c r="C897" s="106"/>
      <c r="D897" s="108"/>
      <c r="E897" s="109"/>
      <c r="F897" s="110"/>
      <c r="G897" s="110"/>
      <c r="H897" s="111"/>
      <c r="I897" s="92" t="str">
        <f>IFERROR(VLOOKUP(D897,'Công T5'!$C$7:$F$89,4,0),"")</f>
        <v/>
      </c>
      <c r="J897" s="92" t="str">
        <f t="shared" si="8"/>
        <v/>
      </c>
      <c r="K897" s="92" t="str">
        <f t="shared" si="10"/>
        <v/>
      </c>
      <c r="L897" s="92" t="str">
        <f>IFERROR(VLOOKUP(D897,'Công T5'!$C$7:$F$89,2,0),"")</f>
        <v/>
      </c>
      <c r="M897" s="92" t="str">
        <f>IFERROR(VLOOKUP(D897,'Công T5'!$C$7:$F$89,3,0),"")</f>
        <v/>
      </c>
      <c r="N897" s="92" t="str">
        <f t="shared" si="9"/>
        <v/>
      </c>
      <c r="O897" s="92" t="str">
        <f t="shared" si="2"/>
        <v/>
      </c>
      <c r="P897" s="94">
        <f t="shared" si="3"/>
        <v>0</v>
      </c>
      <c r="Q897" s="94" t="str">
        <f t="shared" si="4"/>
        <v/>
      </c>
      <c r="R897" s="95">
        <f t="shared" si="5"/>
        <v>0</v>
      </c>
      <c r="S897" s="95">
        <f t="shared" si="6"/>
        <v>0</v>
      </c>
      <c r="T897" s="95" t="str">
        <f t="shared" si="7"/>
        <v/>
      </c>
    </row>
    <row r="898">
      <c r="A898" s="106"/>
      <c r="B898" s="107"/>
      <c r="C898" s="106"/>
      <c r="D898" s="108"/>
      <c r="E898" s="109"/>
      <c r="F898" s="110"/>
      <c r="G898" s="110"/>
      <c r="H898" s="111"/>
      <c r="I898" s="92" t="str">
        <f>IFERROR(VLOOKUP(D898,'Công T5'!$C$7:$F$89,4,0),"")</f>
        <v/>
      </c>
      <c r="J898" s="92" t="str">
        <f t="shared" si="8"/>
        <v/>
      </c>
      <c r="K898" s="92" t="str">
        <f t="shared" si="10"/>
        <v/>
      </c>
      <c r="L898" s="92" t="str">
        <f>IFERROR(VLOOKUP(D898,'Công T5'!$C$7:$F$89,2,0),"")</f>
        <v/>
      </c>
      <c r="M898" s="92" t="str">
        <f>IFERROR(VLOOKUP(D898,'Công T5'!$C$7:$F$89,3,0),"")</f>
        <v/>
      </c>
      <c r="N898" s="92" t="str">
        <f t="shared" si="9"/>
        <v/>
      </c>
      <c r="O898" s="92" t="str">
        <f t="shared" si="2"/>
        <v/>
      </c>
      <c r="P898" s="94">
        <f t="shared" si="3"/>
        <v>0</v>
      </c>
      <c r="Q898" s="94" t="str">
        <f t="shared" si="4"/>
        <v/>
      </c>
      <c r="R898" s="95">
        <f t="shared" si="5"/>
        <v>0</v>
      </c>
      <c r="S898" s="95">
        <f t="shared" si="6"/>
        <v>0</v>
      </c>
      <c r="T898" s="95" t="str">
        <f t="shared" si="7"/>
        <v/>
      </c>
    </row>
    <row r="899">
      <c r="A899" s="106"/>
      <c r="B899" s="107"/>
      <c r="C899" s="106"/>
      <c r="D899" s="108"/>
      <c r="E899" s="109"/>
      <c r="F899" s="110"/>
      <c r="G899" s="110"/>
      <c r="H899" s="111"/>
      <c r="I899" s="92" t="str">
        <f>IFERROR(VLOOKUP(D899,'Công T5'!$C$7:$F$89,4,0),"")</f>
        <v/>
      </c>
      <c r="J899" s="92" t="str">
        <f t="shared" si="8"/>
        <v/>
      </c>
      <c r="K899" s="92" t="str">
        <f t="shared" si="10"/>
        <v/>
      </c>
      <c r="L899" s="92" t="str">
        <f>IFERROR(VLOOKUP(D899,'Công T5'!$C$7:$F$89,2,0),"")</f>
        <v/>
      </c>
      <c r="M899" s="92" t="str">
        <f>IFERROR(VLOOKUP(D899,'Công T5'!$C$7:$F$89,3,0),"")</f>
        <v/>
      </c>
      <c r="N899" s="92" t="str">
        <f t="shared" si="9"/>
        <v/>
      </c>
      <c r="O899" s="92" t="str">
        <f t="shared" si="2"/>
        <v/>
      </c>
      <c r="P899" s="94">
        <f t="shared" si="3"/>
        <v>0</v>
      </c>
      <c r="Q899" s="94" t="str">
        <f t="shared" si="4"/>
        <v/>
      </c>
      <c r="R899" s="95">
        <f t="shared" si="5"/>
        <v>0</v>
      </c>
      <c r="S899" s="95">
        <f t="shared" si="6"/>
        <v>0</v>
      </c>
      <c r="T899" s="95" t="str">
        <f t="shared" si="7"/>
        <v/>
      </c>
    </row>
    <row r="900">
      <c r="A900" s="106"/>
      <c r="B900" s="107"/>
      <c r="C900" s="106"/>
      <c r="D900" s="108"/>
      <c r="E900" s="109"/>
      <c r="F900" s="110"/>
      <c r="G900" s="110"/>
      <c r="H900" s="111"/>
      <c r="I900" s="92" t="str">
        <f>IFERROR(VLOOKUP(D900,'Công T5'!$C$7:$F$89,4,0),"")</f>
        <v/>
      </c>
      <c r="J900" s="92" t="str">
        <f t="shared" si="8"/>
        <v/>
      </c>
      <c r="K900" s="92" t="str">
        <f t="shared" si="10"/>
        <v/>
      </c>
      <c r="L900" s="92" t="str">
        <f>IFERROR(VLOOKUP(D900,'Công T5'!$C$7:$F$89,2,0),"")</f>
        <v/>
      </c>
      <c r="M900" s="92" t="str">
        <f>IFERROR(VLOOKUP(D900,'Công T5'!$C$7:$F$89,3,0),"")</f>
        <v/>
      </c>
      <c r="N900" s="92" t="str">
        <f t="shared" si="9"/>
        <v/>
      </c>
      <c r="O900" s="92" t="str">
        <f t="shared" si="2"/>
        <v/>
      </c>
      <c r="P900" s="94">
        <f t="shared" si="3"/>
        <v>0</v>
      </c>
      <c r="Q900" s="94" t="str">
        <f t="shared" si="4"/>
        <v/>
      </c>
      <c r="R900" s="95">
        <f t="shared" si="5"/>
        <v>0</v>
      </c>
      <c r="S900" s="95">
        <f t="shared" si="6"/>
        <v>0</v>
      </c>
      <c r="T900" s="95" t="str">
        <f t="shared" si="7"/>
        <v/>
      </c>
    </row>
    <row r="901">
      <c r="A901" s="106"/>
      <c r="B901" s="107"/>
      <c r="C901" s="106"/>
      <c r="D901" s="108"/>
      <c r="E901" s="109"/>
      <c r="F901" s="110"/>
      <c r="G901" s="110"/>
      <c r="H901" s="111"/>
      <c r="I901" s="92" t="str">
        <f>IFERROR(VLOOKUP(D901,'Công T5'!$C$7:$F$89,4,0),"")</f>
        <v/>
      </c>
      <c r="J901" s="92" t="str">
        <f t="shared" si="8"/>
        <v/>
      </c>
      <c r="K901" s="92" t="str">
        <f t="shared" si="10"/>
        <v/>
      </c>
      <c r="L901" s="92" t="str">
        <f>IFERROR(VLOOKUP(D901,'Công T5'!$C$7:$F$89,2,0),"")</f>
        <v/>
      </c>
      <c r="M901" s="92" t="str">
        <f>IFERROR(VLOOKUP(D901,'Công T5'!$C$7:$F$89,3,0),"")</f>
        <v/>
      </c>
      <c r="N901" s="92" t="str">
        <f t="shared" si="9"/>
        <v/>
      </c>
      <c r="O901" s="92" t="str">
        <f t="shared" si="2"/>
        <v/>
      </c>
      <c r="P901" s="94">
        <f t="shared" si="3"/>
        <v>0</v>
      </c>
      <c r="Q901" s="94" t="str">
        <f t="shared" si="4"/>
        <v/>
      </c>
      <c r="R901" s="95">
        <f t="shared" si="5"/>
        <v>0</v>
      </c>
      <c r="S901" s="95">
        <f t="shared" si="6"/>
        <v>0</v>
      </c>
      <c r="T901" s="95" t="str">
        <f t="shared" si="7"/>
        <v/>
      </c>
    </row>
    <row r="902">
      <c r="A902" s="106"/>
      <c r="B902" s="107"/>
      <c r="C902" s="106"/>
      <c r="D902" s="108"/>
      <c r="E902" s="109"/>
      <c r="F902" s="110"/>
      <c r="G902" s="110"/>
      <c r="H902" s="111"/>
      <c r="I902" s="92" t="str">
        <f>IFERROR(VLOOKUP(D902,'Công T5'!$C$7:$F$89,4,0),"")</f>
        <v/>
      </c>
      <c r="J902" s="92" t="str">
        <f t="shared" si="8"/>
        <v/>
      </c>
      <c r="K902" s="92" t="str">
        <f t="shared" si="10"/>
        <v/>
      </c>
      <c r="L902" s="92" t="str">
        <f>IFERROR(VLOOKUP(D902,'Công T5'!$C$7:$F$89,2,0),"")</f>
        <v/>
      </c>
      <c r="M902" s="92" t="str">
        <f>IFERROR(VLOOKUP(D902,'Công T5'!$C$7:$F$89,3,0),"")</f>
        <v/>
      </c>
      <c r="N902" s="92" t="str">
        <f t="shared" si="9"/>
        <v/>
      </c>
      <c r="O902" s="92" t="str">
        <f t="shared" si="2"/>
        <v/>
      </c>
      <c r="P902" s="94">
        <f t="shared" si="3"/>
        <v>0</v>
      </c>
      <c r="Q902" s="94" t="str">
        <f t="shared" si="4"/>
        <v/>
      </c>
      <c r="R902" s="95">
        <f t="shared" si="5"/>
        <v>0</v>
      </c>
      <c r="S902" s="95">
        <f t="shared" si="6"/>
        <v>0</v>
      </c>
      <c r="T902" s="95" t="str">
        <f t="shared" si="7"/>
        <v/>
      </c>
    </row>
    <row r="903">
      <c r="A903" s="106"/>
      <c r="B903" s="107"/>
      <c r="C903" s="106"/>
      <c r="D903" s="108"/>
      <c r="E903" s="109"/>
      <c r="F903" s="110"/>
      <c r="G903" s="110"/>
      <c r="H903" s="111"/>
      <c r="I903" s="92" t="str">
        <f>IFERROR(VLOOKUP(D903,'Công T5'!$C$7:$F$89,4,0),"")</f>
        <v/>
      </c>
      <c r="J903" s="92" t="str">
        <f t="shared" si="8"/>
        <v/>
      </c>
      <c r="K903" s="92" t="str">
        <f t="shared" si="10"/>
        <v/>
      </c>
      <c r="L903" s="92" t="str">
        <f>IFERROR(VLOOKUP(D903,'Công T5'!$C$7:$F$89,2,0),"")</f>
        <v/>
      </c>
      <c r="M903" s="92" t="str">
        <f>IFERROR(VLOOKUP(D903,'Công T5'!$C$7:$F$89,3,0),"")</f>
        <v/>
      </c>
      <c r="N903" s="92" t="str">
        <f t="shared" si="9"/>
        <v/>
      </c>
      <c r="O903" s="92" t="str">
        <f t="shared" si="2"/>
        <v/>
      </c>
      <c r="P903" s="94">
        <f t="shared" si="3"/>
        <v>0</v>
      </c>
      <c r="Q903" s="94" t="str">
        <f t="shared" si="4"/>
        <v/>
      </c>
      <c r="R903" s="95">
        <f t="shared" si="5"/>
        <v>0</v>
      </c>
      <c r="S903" s="95">
        <f t="shared" si="6"/>
        <v>0</v>
      </c>
      <c r="T903" s="95" t="str">
        <f t="shared" si="7"/>
        <v/>
      </c>
    </row>
    <row r="904">
      <c r="A904" s="106"/>
      <c r="B904" s="107"/>
      <c r="C904" s="106"/>
      <c r="D904" s="108"/>
      <c r="E904" s="109"/>
      <c r="F904" s="110"/>
      <c r="G904" s="110"/>
      <c r="H904" s="111"/>
      <c r="I904" s="92" t="str">
        <f>IFERROR(VLOOKUP(D904,'Công T5'!$C$7:$F$89,4,0),"")</f>
        <v/>
      </c>
      <c r="J904" s="92" t="str">
        <f t="shared" si="8"/>
        <v/>
      </c>
      <c r="K904" s="92" t="str">
        <f t="shared" si="10"/>
        <v/>
      </c>
      <c r="L904" s="92" t="str">
        <f>IFERROR(VLOOKUP(D904,'Công T5'!$C$7:$F$89,2,0),"")</f>
        <v/>
      </c>
      <c r="M904" s="92" t="str">
        <f>IFERROR(VLOOKUP(D904,'Công T5'!$C$7:$F$89,3,0),"")</f>
        <v/>
      </c>
      <c r="N904" s="92" t="str">
        <f t="shared" si="9"/>
        <v/>
      </c>
      <c r="O904" s="92" t="str">
        <f t="shared" si="2"/>
        <v/>
      </c>
      <c r="P904" s="94">
        <f t="shared" si="3"/>
        <v>0</v>
      </c>
      <c r="Q904" s="94" t="str">
        <f t="shared" si="4"/>
        <v/>
      </c>
      <c r="R904" s="95">
        <f t="shared" si="5"/>
        <v>0</v>
      </c>
      <c r="S904" s="95">
        <f t="shared" si="6"/>
        <v>0</v>
      </c>
      <c r="T904" s="95" t="str">
        <f t="shared" si="7"/>
        <v/>
      </c>
    </row>
    <row r="905">
      <c r="A905" s="106"/>
      <c r="B905" s="107"/>
      <c r="C905" s="106"/>
      <c r="D905" s="108"/>
      <c r="E905" s="109"/>
      <c r="F905" s="110"/>
      <c r="G905" s="110"/>
      <c r="H905" s="111"/>
      <c r="I905" s="92" t="str">
        <f>IFERROR(VLOOKUP(D905,'Công T5'!$C$7:$F$89,4,0),"")</f>
        <v/>
      </c>
      <c r="J905" s="92" t="str">
        <f t="shared" si="8"/>
        <v/>
      </c>
      <c r="K905" s="92" t="str">
        <f t="shared" si="10"/>
        <v/>
      </c>
      <c r="L905" s="92" t="str">
        <f>IFERROR(VLOOKUP(D905,'Công T5'!$C$7:$F$89,2,0),"")</f>
        <v/>
      </c>
      <c r="M905" s="92" t="str">
        <f>IFERROR(VLOOKUP(D905,'Công T5'!$C$7:$F$89,3,0),"")</f>
        <v/>
      </c>
      <c r="N905" s="92" t="str">
        <f t="shared" si="9"/>
        <v/>
      </c>
      <c r="O905" s="92" t="str">
        <f t="shared" si="2"/>
        <v/>
      </c>
      <c r="P905" s="94">
        <f t="shared" si="3"/>
        <v>0</v>
      </c>
      <c r="Q905" s="94" t="str">
        <f t="shared" si="4"/>
        <v/>
      </c>
      <c r="R905" s="95">
        <f t="shared" si="5"/>
        <v>0</v>
      </c>
      <c r="S905" s="95">
        <f t="shared" si="6"/>
        <v>0</v>
      </c>
      <c r="T905" s="95" t="str">
        <f t="shared" si="7"/>
        <v/>
      </c>
    </row>
    <row r="906">
      <c r="A906" s="106"/>
      <c r="B906" s="107"/>
      <c r="C906" s="106"/>
      <c r="D906" s="108"/>
      <c r="E906" s="109"/>
      <c r="F906" s="110"/>
      <c r="G906" s="110"/>
      <c r="H906" s="111"/>
      <c r="I906" s="92" t="str">
        <f>IFERROR(VLOOKUP(D906,'Công T5'!$C$7:$F$89,4,0),"")</f>
        <v/>
      </c>
      <c r="J906" s="92" t="str">
        <f t="shared" si="8"/>
        <v/>
      </c>
      <c r="K906" s="92" t="str">
        <f t="shared" si="10"/>
        <v/>
      </c>
      <c r="L906" s="92" t="str">
        <f>IFERROR(VLOOKUP(D906,'Công T5'!$C$7:$F$89,2,0),"")</f>
        <v/>
      </c>
      <c r="M906" s="92" t="str">
        <f>IFERROR(VLOOKUP(D906,'Công T5'!$C$7:$F$89,3,0),"")</f>
        <v/>
      </c>
      <c r="N906" s="92" t="str">
        <f t="shared" si="9"/>
        <v/>
      </c>
      <c r="O906" s="92" t="str">
        <f t="shared" si="2"/>
        <v/>
      </c>
      <c r="P906" s="94">
        <f t="shared" si="3"/>
        <v>0</v>
      </c>
      <c r="Q906" s="94" t="str">
        <f t="shared" si="4"/>
        <v/>
      </c>
      <c r="R906" s="95">
        <f t="shared" si="5"/>
        <v>0</v>
      </c>
      <c r="S906" s="95">
        <f t="shared" si="6"/>
        <v>0</v>
      </c>
      <c r="T906" s="95" t="str">
        <f t="shared" si="7"/>
        <v/>
      </c>
    </row>
    <row r="907">
      <c r="A907" s="106"/>
      <c r="B907" s="107"/>
      <c r="C907" s="106"/>
      <c r="D907" s="108"/>
      <c r="E907" s="109"/>
      <c r="F907" s="110"/>
      <c r="G907" s="110"/>
      <c r="H907" s="111"/>
      <c r="I907" s="92" t="str">
        <f>IFERROR(VLOOKUP(D907,'Công T5'!$C$7:$F$89,4,0),"")</f>
        <v/>
      </c>
      <c r="J907" s="92" t="str">
        <f t="shared" si="8"/>
        <v/>
      </c>
      <c r="K907" s="92" t="str">
        <f t="shared" si="10"/>
        <v/>
      </c>
      <c r="L907" s="92" t="str">
        <f>IFERROR(VLOOKUP(D907,'Công T5'!$C$7:$F$89,2,0),"")</f>
        <v/>
      </c>
      <c r="M907" s="92" t="str">
        <f>IFERROR(VLOOKUP(D907,'Công T5'!$C$7:$F$89,3,0),"")</f>
        <v/>
      </c>
      <c r="N907" s="92" t="str">
        <f t="shared" si="9"/>
        <v/>
      </c>
      <c r="O907" s="92" t="str">
        <f t="shared" si="2"/>
        <v/>
      </c>
      <c r="P907" s="94">
        <f t="shared" si="3"/>
        <v>0</v>
      </c>
      <c r="Q907" s="94" t="str">
        <f t="shared" si="4"/>
        <v/>
      </c>
      <c r="R907" s="95">
        <f t="shared" si="5"/>
        <v>0</v>
      </c>
      <c r="S907" s="95">
        <f t="shared" si="6"/>
        <v>0</v>
      </c>
      <c r="T907" s="95" t="str">
        <f t="shared" si="7"/>
        <v/>
      </c>
    </row>
    <row r="908">
      <c r="A908" s="106"/>
      <c r="B908" s="107"/>
      <c r="C908" s="106"/>
      <c r="D908" s="108"/>
      <c r="E908" s="109"/>
      <c r="F908" s="110"/>
      <c r="G908" s="110"/>
      <c r="H908" s="111"/>
      <c r="I908" s="92" t="str">
        <f>IFERROR(VLOOKUP(D908,'Công T5'!$C$7:$F$89,4,0),"")</f>
        <v/>
      </c>
      <c r="J908" s="92" t="str">
        <f t="shared" si="8"/>
        <v/>
      </c>
      <c r="K908" s="92" t="str">
        <f t="shared" si="10"/>
        <v/>
      </c>
      <c r="L908" s="92" t="str">
        <f>IFERROR(VLOOKUP(D908,'Công T5'!$C$7:$F$89,2,0),"")</f>
        <v/>
      </c>
      <c r="M908" s="92" t="str">
        <f>IFERROR(VLOOKUP(D908,'Công T5'!$C$7:$F$89,3,0),"")</f>
        <v/>
      </c>
      <c r="N908" s="92" t="str">
        <f t="shared" si="9"/>
        <v/>
      </c>
      <c r="O908" s="92" t="str">
        <f t="shared" si="2"/>
        <v/>
      </c>
      <c r="P908" s="94">
        <f t="shared" si="3"/>
        <v>0</v>
      </c>
      <c r="Q908" s="94" t="str">
        <f t="shared" si="4"/>
        <v/>
      </c>
      <c r="R908" s="95">
        <f t="shared" si="5"/>
        <v>0</v>
      </c>
      <c r="S908" s="95">
        <f t="shared" si="6"/>
        <v>0</v>
      </c>
      <c r="T908" s="95" t="str">
        <f t="shared" si="7"/>
        <v/>
      </c>
    </row>
    <row r="909">
      <c r="A909" s="106"/>
      <c r="B909" s="107"/>
      <c r="C909" s="106"/>
      <c r="D909" s="108"/>
      <c r="E909" s="109"/>
      <c r="F909" s="110"/>
      <c r="G909" s="110"/>
      <c r="H909" s="111"/>
      <c r="I909" s="92" t="str">
        <f>IFERROR(VLOOKUP(D909,'Công T5'!$C$7:$F$89,4,0),"")</f>
        <v/>
      </c>
      <c r="J909" s="92" t="str">
        <f t="shared" si="8"/>
        <v/>
      </c>
      <c r="K909" s="92" t="str">
        <f t="shared" si="10"/>
        <v/>
      </c>
      <c r="L909" s="92" t="str">
        <f>IFERROR(VLOOKUP(D909,'Công T5'!$C$7:$F$89,2,0),"")</f>
        <v/>
      </c>
      <c r="M909" s="92" t="str">
        <f>IFERROR(VLOOKUP(D909,'Công T5'!$C$7:$F$89,3,0),"")</f>
        <v/>
      </c>
      <c r="N909" s="92" t="str">
        <f t="shared" si="9"/>
        <v/>
      </c>
      <c r="O909" s="92" t="str">
        <f t="shared" si="2"/>
        <v/>
      </c>
      <c r="P909" s="94">
        <f t="shared" si="3"/>
        <v>0</v>
      </c>
      <c r="Q909" s="94" t="str">
        <f t="shared" si="4"/>
        <v/>
      </c>
      <c r="R909" s="95">
        <f t="shared" si="5"/>
        <v>0</v>
      </c>
      <c r="S909" s="95">
        <f t="shared" si="6"/>
        <v>0</v>
      </c>
      <c r="T909" s="95" t="str">
        <f t="shared" si="7"/>
        <v/>
      </c>
    </row>
    <row r="910">
      <c r="A910" s="106"/>
      <c r="B910" s="107"/>
      <c r="C910" s="106"/>
      <c r="D910" s="108"/>
      <c r="E910" s="109"/>
      <c r="F910" s="110"/>
      <c r="G910" s="110"/>
      <c r="H910" s="111"/>
      <c r="I910" s="92" t="str">
        <f>IFERROR(VLOOKUP(D910,'Công T5'!$C$7:$F$89,4,0),"")</f>
        <v/>
      </c>
      <c r="J910" s="92" t="str">
        <f t="shared" si="8"/>
        <v/>
      </c>
      <c r="K910" s="92" t="str">
        <f t="shared" si="10"/>
        <v/>
      </c>
      <c r="L910" s="92" t="str">
        <f>IFERROR(VLOOKUP(D910,'Công T5'!$C$7:$F$89,2,0),"")</f>
        <v/>
      </c>
      <c r="M910" s="92" t="str">
        <f>IFERROR(VLOOKUP(D910,'Công T5'!$C$7:$F$89,3,0),"")</f>
        <v/>
      </c>
      <c r="N910" s="92" t="str">
        <f t="shared" si="9"/>
        <v/>
      </c>
      <c r="O910" s="92" t="str">
        <f t="shared" si="2"/>
        <v/>
      </c>
      <c r="P910" s="94">
        <f t="shared" si="3"/>
        <v>0</v>
      </c>
      <c r="Q910" s="94" t="str">
        <f t="shared" si="4"/>
        <v/>
      </c>
      <c r="R910" s="95">
        <f t="shared" si="5"/>
        <v>0</v>
      </c>
      <c r="S910" s="95">
        <f t="shared" si="6"/>
        <v>0</v>
      </c>
      <c r="T910" s="95" t="str">
        <f t="shared" si="7"/>
        <v/>
      </c>
    </row>
    <row r="911">
      <c r="A911" s="106"/>
      <c r="B911" s="107"/>
      <c r="C911" s="106"/>
      <c r="D911" s="108"/>
      <c r="E911" s="109"/>
      <c r="F911" s="110"/>
      <c r="G911" s="110"/>
      <c r="H911" s="111"/>
      <c r="I911" s="92" t="str">
        <f>IFERROR(VLOOKUP(D911,'Công T5'!$C$7:$F$89,4,0),"")</f>
        <v/>
      </c>
      <c r="J911" s="92" t="str">
        <f t="shared" si="8"/>
        <v/>
      </c>
      <c r="K911" s="92" t="str">
        <f t="shared" si="10"/>
        <v/>
      </c>
      <c r="L911" s="92" t="str">
        <f>IFERROR(VLOOKUP(D911,'Công T5'!$C$7:$F$89,2,0),"")</f>
        <v/>
      </c>
      <c r="M911" s="92" t="str">
        <f>IFERROR(VLOOKUP(D911,'Công T5'!$C$7:$F$89,3,0),"")</f>
        <v/>
      </c>
      <c r="N911" s="92" t="str">
        <f t="shared" si="9"/>
        <v/>
      </c>
      <c r="O911" s="92" t="str">
        <f t="shared" si="2"/>
        <v/>
      </c>
      <c r="P911" s="94">
        <f t="shared" si="3"/>
        <v>0</v>
      </c>
      <c r="Q911" s="94" t="str">
        <f t="shared" si="4"/>
        <v/>
      </c>
      <c r="R911" s="95">
        <f t="shared" si="5"/>
        <v>0</v>
      </c>
      <c r="S911" s="95">
        <f t="shared" si="6"/>
        <v>0</v>
      </c>
      <c r="T911" s="95" t="str">
        <f t="shared" si="7"/>
        <v/>
      </c>
    </row>
    <row r="912">
      <c r="A912" s="106"/>
      <c r="B912" s="107"/>
      <c r="C912" s="106"/>
      <c r="D912" s="108"/>
      <c r="E912" s="109"/>
      <c r="F912" s="110"/>
      <c r="G912" s="110"/>
      <c r="H912" s="111"/>
      <c r="I912" s="92" t="str">
        <f>IFERROR(VLOOKUP(D912,'Công T5'!$C$7:$F$89,4,0),"")</f>
        <v/>
      </c>
      <c r="J912" s="92" t="str">
        <f t="shared" si="8"/>
        <v/>
      </c>
      <c r="K912" s="92" t="str">
        <f t="shared" si="10"/>
        <v/>
      </c>
      <c r="L912" s="92" t="str">
        <f>IFERROR(VLOOKUP(D912,'Công T5'!$C$7:$F$89,2,0),"")</f>
        <v/>
      </c>
      <c r="M912" s="92" t="str">
        <f>IFERROR(VLOOKUP(D912,'Công T5'!$C$7:$F$89,3,0),"")</f>
        <v/>
      </c>
      <c r="N912" s="92" t="str">
        <f t="shared" si="9"/>
        <v/>
      </c>
      <c r="O912" s="92" t="str">
        <f t="shared" si="2"/>
        <v/>
      </c>
      <c r="P912" s="94">
        <f t="shared" si="3"/>
        <v>0</v>
      </c>
      <c r="Q912" s="94" t="str">
        <f t="shared" si="4"/>
        <v/>
      </c>
      <c r="R912" s="95">
        <f t="shared" si="5"/>
        <v>0</v>
      </c>
      <c r="S912" s="95">
        <f t="shared" si="6"/>
        <v>0</v>
      </c>
      <c r="T912" s="95" t="str">
        <f t="shared" si="7"/>
        <v/>
      </c>
    </row>
    <row r="913">
      <c r="A913" s="106"/>
      <c r="B913" s="107"/>
      <c r="C913" s="106"/>
      <c r="D913" s="108"/>
      <c r="E913" s="109"/>
      <c r="F913" s="110"/>
      <c r="G913" s="110"/>
      <c r="H913" s="111"/>
      <c r="I913" s="92" t="str">
        <f>IFERROR(VLOOKUP(D913,'Công T5'!$C$7:$F$89,4,0),"")</f>
        <v/>
      </c>
      <c r="J913" s="92" t="str">
        <f t="shared" si="8"/>
        <v/>
      </c>
      <c r="K913" s="92" t="str">
        <f t="shared" si="10"/>
        <v/>
      </c>
      <c r="L913" s="92" t="str">
        <f>IFERROR(VLOOKUP(D913,'Công T5'!$C$7:$F$89,2,0),"")</f>
        <v/>
      </c>
      <c r="M913" s="92" t="str">
        <f>IFERROR(VLOOKUP(D913,'Công T5'!$C$7:$F$89,3,0),"")</f>
        <v/>
      </c>
      <c r="N913" s="92" t="str">
        <f t="shared" si="9"/>
        <v/>
      </c>
      <c r="O913" s="92" t="str">
        <f t="shared" si="2"/>
        <v/>
      </c>
      <c r="P913" s="94">
        <f t="shared" si="3"/>
        <v>0</v>
      </c>
      <c r="Q913" s="94" t="str">
        <f t="shared" si="4"/>
        <v/>
      </c>
      <c r="R913" s="95">
        <f t="shared" si="5"/>
        <v>0</v>
      </c>
      <c r="S913" s="95">
        <f t="shared" si="6"/>
        <v>0</v>
      </c>
      <c r="T913" s="95" t="str">
        <f t="shared" si="7"/>
        <v/>
      </c>
    </row>
    <row r="914">
      <c r="A914" s="106"/>
      <c r="B914" s="107"/>
      <c r="C914" s="106"/>
      <c r="D914" s="108"/>
      <c r="E914" s="109"/>
      <c r="F914" s="110"/>
      <c r="G914" s="110"/>
      <c r="H914" s="111"/>
      <c r="I914" s="92" t="str">
        <f>IFERROR(VLOOKUP(D914,'Công T5'!$C$7:$F$89,4,0),"")</f>
        <v/>
      </c>
      <c r="J914" s="92" t="str">
        <f t="shared" si="8"/>
        <v/>
      </c>
      <c r="K914" s="92" t="str">
        <f t="shared" si="10"/>
        <v/>
      </c>
      <c r="L914" s="92" t="str">
        <f>IFERROR(VLOOKUP(D914,'Công T5'!$C$7:$F$89,2,0),"")</f>
        <v/>
      </c>
      <c r="M914" s="92" t="str">
        <f>IFERROR(VLOOKUP(D914,'Công T5'!$C$7:$F$89,3,0),"")</f>
        <v/>
      </c>
      <c r="N914" s="92" t="str">
        <f t="shared" si="9"/>
        <v/>
      </c>
      <c r="O914" s="92" t="str">
        <f t="shared" si="2"/>
        <v/>
      </c>
      <c r="P914" s="94">
        <f t="shared" si="3"/>
        <v>0</v>
      </c>
      <c r="Q914" s="94" t="str">
        <f t="shared" si="4"/>
        <v/>
      </c>
      <c r="R914" s="95">
        <f t="shared" si="5"/>
        <v>0</v>
      </c>
      <c r="S914" s="95">
        <f t="shared" si="6"/>
        <v>0</v>
      </c>
      <c r="T914" s="95" t="str">
        <f t="shared" si="7"/>
        <v/>
      </c>
    </row>
    <row r="915">
      <c r="A915" s="106"/>
      <c r="B915" s="107"/>
      <c r="C915" s="106"/>
      <c r="D915" s="108"/>
      <c r="E915" s="109"/>
      <c r="F915" s="110"/>
      <c r="G915" s="110"/>
      <c r="H915" s="111"/>
      <c r="I915" s="92" t="str">
        <f>IFERROR(VLOOKUP(D915,'Công T5'!$C$7:$F$89,4,0),"")</f>
        <v/>
      </c>
      <c r="J915" s="92" t="str">
        <f t="shared" si="8"/>
        <v/>
      </c>
      <c r="K915" s="92" t="str">
        <f t="shared" si="10"/>
        <v/>
      </c>
      <c r="L915" s="92" t="str">
        <f>IFERROR(VLOOKUP(D915,'Công T5'!$C$7:$F$89,2,0),"")</f>
        <v/>
      </c>
      <c r="M915" s="92" t="str">
        <f>IFERROR(VLOOKUP(D915,'Công T5'!$C$7:$F$89,3,0),"")</f>
        <v/>
      </c>
      <c r="N915" s="92" t="str">
        <f t="shared" si="9"/>
        <v/>
      </c>
      <c r="O915" s="92" t="str">
        <f t="shared" si="2"/>
        <v/>
      </c>
      <c r="P915" s="94">
        <f t="shared" si="3"/>
        <v>0</v>
      </c>
      <c r="Q915" s="94" t="str">
        <f t="shared" si="4"/>
        <v/>
      </c>
      <c r="R915" s="95">
        <f t="shared" si="5"/>
        <v>0</v>
      </c>
      <c r="S915" s="95">
        <f t="shared" si="6"/>
        <v>0</v>
      </c>
      <c r="T915" s="95" t="str">
        <f t="shared" si="7"/>
        <v/>
      </c>
    </row>
    <row r="916">
      <c r="A916" s="106"/>
      <c r="B916" s="107"/>
      <c r="C916" s="106"/>
      <c r="D916" s="108"/>
      <c r="E916" s="109"/>
      <c r="F916" s="110"/>
      <c r="G916" s="110"/>
      <c r="H916" s="111"/>
      <c r="I916" s="92" t="str">
        <f>IFERROR(VLOOKUP(D916,'Công T5'!$C$7:$F$89,4,0),"")</f>
        <v/>
      </c>
      <c r="J916" s="92" t="str">
        <f t="shared" si="8"/>
        <v/>
      </c>
      <c r="K916" s="92" t="str">
        <f t="shared" si="10"/>
        <v/>
      </c>
      <c r="L916" s="92" t="str">
        <f>IFERROR(VLOOKUP(D916,'Công T5'!$C$7:$F$89,2,0),"")</f>
        <v/>
      </c>
      <c r="M916" s="92" t="str">
        <f>IFERROR(VLOOKUP(D916,'Công T5'!$C$7:$F$89,3,0),"")</f>
        <v/>
      </c>
      <c r="N916" s="92" t="str">
        <f t="shared" si="9"/>
        <v/>
      </c>
      <c r="O916" s="92" t="str">
        <f t="shared" si="2"/>
        <v/>
      </c>
      <c r="P916" s="94">
        <f t="shared" si="3"/>
        <v>0</v>
      </c>
      <c r="Q916" s="94" t="str">
        <f t="shared" si="4"/>
        <v/>
      </c>
      <c r="R916" s="95">
        <f t="shared" si="5"/>
        <v>0</v>
      </c>
      <c r="S916" s="95">
        <f t="shared" si="6"/>
        <v>0</v>
      </c>
      <c r="T916" s="95" t="str">
        <f t="shared" si="7"/>
        <v/>
      </c>
    </row>
    <row r="917">
      <c r="A917" s="106"/>
      <c r="B917" s="107"/>
      <c r="C917" s="106"/>
      <c r="D917" s="108"/>
      <c r="E917" s="109"/>
      <c r="F917" s="110"/>
      <c r="G917" s="110"/>
      <c r="H917" s="111"/>
      <c r="I917" s="92" t="str">
        <f>IFERROR(VLOOKUP(D917,'Công T5'!$C$7:$F$89,4,0),"")</f>
        <v/>
      </c>
      <c r="J917" s="92" t="str">
        <f t="shared" si="8"/>
        <v/>
      </c>
      <c r="K917" s="92" t="str">
        <f t="shared" si="10"/>
        <v/>
      </c>
      <c r="L917" s="92" t="str">
        <f>IFERROR(VLOOKUP(D917,'Công T5'!$C$7:$F$89,2,0),"")</f>
        <v/>
      </c>
      <c r="M917" s="92" t="str">
        <f>IFERROR(VLOOKUP(D917,'Công T5'!$C$7:$F$89,3,0),"")</f>
        <v/>
      </c>
      <c r="N917" s="92" t="str">
        <f t="shared" si="9"/>
        <v/>
      </c>
      <c r="O917" s="92" t="str">
        <f t="shared" si="2"/>
        <v/>
      </c>
      <c r="P917" s="94">
        <f t="shared" si="3"/>
        <v>0</v>
      </c>
      <c r="Q917" s="94" t="str">
        <f t="shared" si="4"/>
        <v/>
      </c>
      <c r="R917" s="95">
        <f t="shared" si="5"/>
        <v>0</v>
      </c>
      <c r="S917" s="95">
        <f t="shared" si="6"/>
        <v>0</v>
      </c>
      <c r="T917" s="95" t="str">
        <f t="shared" si="7"/>
        <v/>
      </c>
    </row>
    <row r="918">
      <c r="A918" s="106"/>
      <c r="B918" s="107"/>
      <c r="C918" s="106"/>
      <c r="D918" s="108"/>
      <c r="E918" s="109"/>
      <c r="F918" s="110"/>
      <c r="G918" s="110"/>
      <c r="H918" s="111"/>
      <c r="I918" s="92" t="str">
        <f>IFERROR(VLOOKUP(D918,'Công T5'!$C$7:$F$89,4,0),"")</f>
        <v/>
      </c>
      <c r="J918" s="92" t="str">
        <f t="shared" si="8"/>
        <v/>
      </c>
      <c r="K918" s="92" t="str">
        <f t="shared" si="10"/>
        <v/>
      </c>
      <c r="L918" s="92" t="str">
        <f>IFERROR(VLOOKUP(D918,'Công T5'!$C$7:$F$89,2,0),"")</f>
        <v/>
      </c>
      <c r="M918" s="92" t="str">
        <f>IFERROR(VLOOKUP(D918,'Công T5'!$C$7:$F$89,3,0),"")</f>
        <v/>
      </c>
      <c r="N918" s="92" t="str">
        <f t="shared" si="9"/>
        <v/>
      </c>
      <c r="O918" s="92" t="str">
        <f t="shared" si="2"/>
        <v/>
      </c>
      <c r="P918" s="94">
        <f t="shared" si="3"/>
        <v>0</v>
      </c>
      <c r="Q918" s="94" t="str">
        <f t="shared" si="4"/>
        <v/>
      </c>
      <c r="R918" s="95">
        <f t="shared" si="5"/>
        <v>0</v>
      </c>
      <c r="S918" s="95">
        <f t="shared" si="6"/>
        <v>0</v>
      </c>
      <c r="T918" s="95" t="str">
        <f t="shared" si="7"/>
        <v/>
      </c>
    </row>
    <row r="919">
      <c r="A919" s="106"/>
      <c r="B919" s="107"/>
      <c r="C919" s="106"/>
      <c r="D919" s="108"/>
      <c r="E919" s="109"/>
      <c r="F919" s="110"/>
      <c r="G919" s="110"/>
      <c r="H919" s="111"/>
      <c r="I919" s="92" t="str">
        <f>IFERROR(VLOOKUP(D919,'Công T5'!$C$7:$F$89,4,0),"")</f>
        <v/>
      </c>
      <c r="J919" s="92" t="str">
        <f t="shared" si="8"/>
        <v/>
      </c>
      <c r="K919" s="92" t="str">
        <f t="shared" si="10"/>
        <v/>
      </c>
      <c r="L919" s="92" t="str">
        <f>IFERROR(VLOOKUP(D919,'Công T5'!$C$7:$F$89,2,0),"")</f>
        <v/>
      </c>
      <c r="M919" s="92" t="str">
        <f>IFERROR(VLOOKUP(D919,'Công T5'!$C$7:$F$89,3,0),"")</f>
        <v/>
      </c>
      <c r="N919" s="92" t="str">
        <f t="shared" si="9"/>
        <v/>
      </c>
      <c r="O919" s="92" t="str">
        <f t="shared" si="2"/>
        <v/>
      </c>
      <c r="P919" s="94">
        <f t="shared" si="3"/>
        <v>0</v>
      </c>
      <c r="Q919" s="94" t="str">
        <f t="shared" si="4"/>
        <v/>
      </c>
      <c r="R919" s="95">
        <f t="shared" si="5"/>
        <v>0</v>
      </c>
      <c r="S919" s="95">
        <f t="shared" si="6"/>
        <v>0</v>
      </c>
      <c r="T919" s="95" t="str">
        <f t="shared" si="7"/>
        <v/>
      </c>
    </row>
    <row r="920">
      <c r="A920" s="106"/>
      <c r="B920" s="107"/>
      <c r="C920" s="106"/>
      <c r="D920" s="108"/>
      <c r="E920" s="109"/>
      <c r="F920" s="110"/>
      <c r="G920" s="110"/>
      <c r="H920" s="111"/>
      <c r="I920" s="92" t="str">
        <f>IFERROR(VLOOKUP(D920,'Công T5'!$C$7:$F$89,4,0),"")</f>
        <v/>
      </c>
      <c r="J920" s="92" t="str">
        <f t="shared" si="8"/>
        <v/>
      </c>
      <c r="K920" s="92" t="str">
        <f t="shared" si="10"/>
        <v/>
      </c>
      <c r="L920" s="92" t="str">
        <f>IFERROR(VLOOKUP(D920,'Công T5'!$C$7:$F$89,2,0),"")</f>
        <v/>
      </c>
      <c r="M920" s="92" t="str">
        <f>IFERROR(VLOOKUP(D920,'Công T5'!$C$7:$F$89,3,0),"")</f>
        <v/>
      </c>
      <c r="N920" s="92" t="str">
        <f t="shared" si="9"/>
        <v/>
      </c>
      <c r="O920" s="92" t="str">
        <f t="shared" si="2"/>
        <v/>
      </c>
      <c r="P920" s="94">
        <f t="shared" si="3"/>
        <v>0</v>
      </c>
      <c r="Q920" s="94" t="str">
        <f t="shared" si="4"/>
        <v/>
      </c>
      <c r="R920" s="95">
        <f t="shared" si="5"/>
        <v>0</v>
      </c>
      <c r="S920" s="95">
        <f t="shared" si="6"/>
        <v>0</v>
      </c>
      <c r="T920" s="95" t="str">
        <f t="shared" si="7"/>
        <v/>
      </c>
    </row>
    <row r="921">
      <c r="A921" s="106"/>
      <c r="B921" s="107"/>
      <c r="C921" s="106"/>
      <c r="D921" s="108"/>
      <c r="E921" s="109"/>
      <c r="F921" s="110"/>
      <c r="G921" s="110"/>
      <c r="H921" s="111"/>
      <c r="I921" s="92" t="str">
        <f>IFERROR(VLOOKUP(D921,'Công T5'!$C$7:$F$89,4,0),"")</f>
        <v/>
      </c>
      <c r="J921" s="92" t="str">
        <f t="shared" si="8"/>
        <v/>
      </c>
      <c r="K921" s="92" t="str">
        <f t="shared" si="10"/>
        <v/>
      </c>
      <c r="L921" s="92" t="str">
        <f>IFERROR(VLOOKUP(D921,'Công T5'!$C$7:$F$89,2,0),"")</f>
        <v/>
      </c>
      <c r="M921" s="92" t="str">
        <f>IFERROR(VLOOKUP(D921,'Công T5'!$C$7:$F$89,3,0),"")</f>
        <v/>
      </c>
      <c r="N921" s="92" t="str">
        <f t="shared" si="9"/>
        <v/>
      </c>
      <c r="O921" s="92" t="str">
        <f t="shared" si="2"/>
        <v/>
      </c>
      <c r="P921" s="94">
        <f t="shared" si="3"/>
        <v>0</v>
      </c>
      <c r="Q921" s="94" t="str">
        <f t="shared" si="4"/>
        <v/>
      </c>
      <c r="R921" s="95">
        <f t="shared" si="5"/>
        <v>0</v>
      </c>
      <c r="S921" s="95">
        <f t="shared" si="6"/>
        <v>0</v>
      </c>
      <c r="T921" s="95" t="str">
        <f t="shared" si="7"/>
        <v/>
      </c>
    </row>
    <row r="922">
      <c r="A922" s="106"/>
      <c r="B922" s="107"/>
      <c r="C922" s="106"/>
      <c r="D922" s="108"/>
      <c r="E922" s="109"/>
      <c r="F922" s="110"/>
      <c r="G922" s="110"/>
      <c r="H922" s="111"/>
      <c r="I922" s="92" t="str">
        <f>IFERROR(VLOOKUP(D922,'Công T5'!$C$7:$F$89,4,0),"")</f>
        <v/>
      </c>
      <c r="J922" s="92" t="str">
        <f t="shared" si="8"/>
        <v/>
      </c>
      <c r="K922" s="92" t="str">
        <f t="shared" si="10"/>
        <v/>
      </c>
      <c r="L922" s="92" t="str">
        <f>IFERROR(VLOOKUP(D922,'Công T5'!$C$7:$F$89,2,0),"")</f>
        <v/>
      </c>
      <c r="M922" s="92" t="str">
        <f>IFERROR(VLOOKUP(D922,'Công T5'!$C$7:$F$89,3,0),"")</f>
        <v/>
      </c>
      <c r="N922" s="92" t="str">
        <f t="shared" si="9"/>
        <v/>
      </c>
      <c r="O922" s="92" t="str">
        <f t="shared" si="2"/>
        <v/>
      </c>
      <c r="P922" s="94">
        <f t="shared" si="3"/>
        <v>0</v>
      </c>
      <c r="Q922" s="94" t="str">
        <f t="shared" si="4"/>
        <v/>
      </c>
      <c r="R922" s="95">
        <f t="shared" si="5"/>
        <v>0</v>
      </c>
      <c r="S922" s="95">
        <f t="shared" si="6"/>
        <v>0</v>
      </c>
      <c r="T922" s="95" t="str">
        <f t="shared" si="7"/>
        <v/>
      </c>
    </row>
    <row r="923">
      <c r="A923" s="106"/>
      <c r="B923" s="107"/>
      <c r="C923" s="106"/>
      <c r="D923" s="108"/>
      <c r="E923" s="109"/>
      <c r="F923" s="110"/>
      <c r="G923" s="110"/>
      <c r="H923" s="111"/>
      <c r="I923" s="92" t="str">
        <f>IFERROR(VLOOKUP(D923,'Công T5'!$C$7:$F$89,4,0),"")</f>
        <v/>
      </c>
      <c r="J923" s="92" t="str">
        <f t="shared" si="8"/>
        <v/>
      </c>
      <c r="K923" s="92" t="str">
        <f t="shared" si="10"/>
        <v/>
      </c>
      <c r="L923" s="92" t="str">
        <f>IFERROR(VLOOKUP(D923,'Công T5'!$C$7:$F$89,2,0),"")</f>
        <v/>
      </c>
      <c r="M923" s="92" t="str">
        <f>IFERROR(VLOOKUP(D923,'Công T5'!$C$7:$F$89,3,0),"")</f>
        <v/>
      </c>
      <c r="N923" s="92" t="str">
        <f t="shared" si="9"/>
        <v/>
      </c>
      <c r="O923" s="92" t="str">
        <f t="shared" si="2"/>
        <v/>
      </c>
      <c r="P923" s="94">
        <f t="shared" si="3"/>
        <v>0</v>
      </c>
      <c r="Q923" s="94" t="str">
        <f t="shared" si="4"/>
        <v/>
      </c>
      <c r="R923" s="95">
        <f t="shared" si="5"/>
        <v>0</v>
      </c>
      <c r="S923" s="95">
        <f t="shared" si="6"/>
        <v>0</v>
      </c>
      <c r="T923" s="95" t="str">
        <f t="shared" si="7"/>
        <v/>
      </c>
    </row>
    <row r="924">
      <c r="A924" s="106"/>
      <c r="B924" s="107"/>
      <c r="C924" s="106"/>
      <c r="D924" s="108"/>
      <c r="E924" s="109"/>
      <c r="F924" s="110"/>
      <c r="G924" s="110"/>
      <c r="H924" s="111"/>
      <c r="I924" s="92" t="str">
        <f>IFERROR(VLOOKUP(D924,'Công T5'!$C$7:$F$89,4,0),"")</f>
        <v/>
      </c>
      <c r="J924" s="92" t="str">
        <f t="shared" si="8"/>
        <v/>
      </c>
      <c r="K924" s="92" t="str">
        <f t="shared" si="10"/>
        <v/>
      </c>
      <c r="L924" s="92" t="str">
        <f>IFERROR(VLOOKUP(D924,'Công T5'!$C$7:$F$89,2,0),"")</f>
        <v/>
      </c>
      <c r="M924" s="92" t="str">
        <f>IFERROR(VLOOKUP(D924,'Công T5'!$C$7:$F$89,3,0),"")</f>
        <v/>
      </c>
      <c r="N924" s="92" t="str">
        <f t="shared" si="9"/>
        <v/>
      </c>
      <c r="O924" s="92" t="str">
        <f t="shared" si="2"/>
        <v/>
      </c>
      <c r="P924" s="94">
        <f t="shared" si="3"/>
        <v>0</v>
      </c>
      <c r="Q924" s="94" t="str">
        <f t="shared" si="4"/>
        <v/>
      </c>
      <c r="R924" s="95">
        <f t="shared" si="5"/>
        <v>0</v>
      </c>
      <c r="S924" s="95">
        <f t="shared" si="6"/>
        <v>0</v>
      </c>
      <c r="T924" s="95" t="str">
        <f t="shared" si="7"/>
        <v/>
      </c>
    </row>
    <row r="925">
      <c r="A925" s="106"/>
      <c r="B925" s="107"/>
      <c r="C925" s="106"/>
      <c r="D925" s="108"/>
      <c r="E925" s="109"/>
      <c r="F925" s="110"/>
      <c r="G925" s="110"/>
      <c r="H925" s="111"/>
      <c r="I925" s="92" t="str">
        <f>IFERROR(VLOOKUP(D925,'Công T5'!$C$7:$F$89,4,0),"")</f>
        <v/>
      </c>
      <c r="J925" s="92" t="str">
        <f t="shared" si="8"/>
        <v/>
      </c>
      <c r="K925" s="92" t="str">
        <f t="shared" si="10"/>
        <v/>
      </c>
      <c r="L925" s="92" t="str">
        <f>IFERROR(VLOOKUP(D925,'Công T5'!$C$7:$F$89,2,0),"")</f>
        <v/>
      </c>
      <c r="M925" s="92" t="str">
        <f>IFERROR(VLOOKUP(D925,'Công T5'!$C$7:$F$89,3,0),"")</f>
        <v/>
      </c>
      <c r="N925" s="92" t="str">
        <f t="shared" si="9"/>
        <v/>
      </c>
      <c r="O925" s="92" t="str">
        <f t="shared" si="2"/>
        <v/>
      </c>
      <c r="P925" s="94">
        <f t="shared" si="3"/>
        <v>0</v>
      </c>
      <c r="Q925" s="94" t="str">
        <f t="shared" si="4"/>
        <v/>
      </c>
      <c r="R925" s="95">
        <f t="shared" si="5"/>
        <v>0</v>
      </c>
      <c r="S925" s="95">
        <f t="shared" si="6"/>
        <v>0</v>
      </c>
      <c r="T925" s="95" t="str">
        <f t="shared" si="7"/>
        <v/>
      </c>
    </row>
    <row r="926">
      <c r="A926" s="106"/>
      <c r="B926" s="107"/>
      <c r="C926" s="106"/>
      <c r="D926" s="108"/>
      <c r="E926" s="109"/>
      <c r="F926" s="110"/>
      <c r="G926" s="110"/>
      <c r="H926" s="111"/>
      <c r="I926" s="92" t="str">
        <f>IFERROR(VLOOKUP(D926,'Công T5'!$C$7:$F$89,4,0),"")</f>
        <v/>
      </c>
      <c r="J926" s="92" t="str">
        <f t="shared" si="8"/>
        <v/>
      </c>
      <c r="K926" s="92" t="str">
        <f t="shared" si="10"/>
        <v/>
      </c>
      <c r="L926" s="92" t="str">
        <f>IFERROR(VLOOKUP(D926,'Công T5'!$C$7:$F$89,2,0),"")</f>
        <v/>
      </c>
      <c r="M926" s="92" t="str">
        <f>IFERROR(VLOOKUP(D926,'Công T5'!$C$7:$F$89,3,0),"")</f>
        <v/>
      </c>
      <c r="N926" s="92" t="str">
        <f t="shared" si="9"/>
        <v/>
      </c>
      <c r="O926" s="92" t="str">
        <f t="shared" si="2"/>
        <v/>
      </c>
      <c r="P926" s="94">
        <f t="shared" si="3"/>
        <v>0</v>
      </c>
      <c r="Q926" s="94" t="str">
        <f t="shared" si="4"/>
        <v/>
      </c>
      <c r="R926" s="95">
        <f t="shared" si="5"/>
        <v>0</v>
      </c>
      <c r="S926" s="95">
        <f t="shared" si="6"/>
        <v>0</v>
      </c>
      <c r="T926" s="95" t="str">
        <f t="shared" si="7"/>
        <v/>
      </c>
    </row>
    <row r="927">
      <c r="A927" s="106"/>
      <c r="B927" s="107"/>
      <c r="C927" s="106"/>
      <c r="D927" s="108"/>
      <c r="E927" s="109"/>
      <c r="F927" s="110"/>
      <c r="G927" s="110"/>
      <c r="H927" s="111"/>
      <c r="I927" s="92" t="str">
        <f>IFERROR(VLOOKUP(D927,'Công T5'!$C$7:$F$89,4,0),"")</f>
        <v/>
      </c>
      <c r="J927" s="92" t="str">
        <f t="shared" si="8"/>
        <v/>
      </c>
      <c r="K927" s="92" t="str">
        <f t="shared" si="10"/>
        <v/>
      </c>
      <c r="L927" s="92" t="str">
        <f>IFERROR(VLOOKUP(D927,'Công T5'!$C$7:$F$89,2,0),"")</f>
        <v/>
      </c>
      <c r="M927" s="92" t="str">
        <f>IFERROR(VLOOKUP(D927,'Công T5'!$C$7:$F$89,3,0),"")</f>
        <v/>
      </c>
      <c r="N927" s="92" t="str">
        <f t="shared" si="9"/>
        <v/>
      </c>
      <c r="O927" s="92" t="str">
        <f t="shared" si="2"/>
        <v/>
      </c>
      <c r="P927" s="94">
        <f t="shared" si="3"/>
        <v>0</v>
      </c>
      <c r="Q927" s="94" t="str">
        <f t="shared" si="4"/>
        <v/>
      </c>
      <c r="R927" s="95">
        <f t="shared" si="5"/>
        <v>0</v>
      </c>
      <c r="S927" s="95">
        <f t="shared" si="6"/>
        <v>0</v>
      </c>
      <c r="T927" s="95" t="str">
        <f t="shared" si="7"/>
        <v/>
      </c>
    </row>
    <row r="928">
      <c r="A928" s="106"/>
      <c r="B928" s="107"/>
      <c r="C928" s="106"/>
      <c r="D928" s="108"/>
      <c r="E928" s="109"/>
      <c r="F928" s="110"/>
      <c r="G928" s="110"/>
      <c r="H928" s="111"/>
      <c r="I928" s="92" t="str">
        <f>IFERROR(VLOOKUP(D928,'Công T5'!$C$7:$F$89,4,0),"")</f>
        <v/>
      </c>
      <c r="J928" s="92" t="str">
        <f t="shared" si="8"/>
        <v/>
      </c>
      <c r="K928" s="92" t="str">
        <f t="shared" si="10"/>
        <v/>
      </c>
      <c r="L928" s="92" t="str">
        <f>IFERROR(VLOOKUP(D928,'Công T5'!$C$7:$F$89,2,0),"")</f>
        <v/>
      </c>
      <c r="M928" s="92" t="str">
        <f>IFERROR(VLOOKUP(D928,'Công T5'!$C$7:$F$89,3,0),"")</f>
        <v/>
      </c>
      <c r="N928" s="92" t="str">
        <f t="shared" si="9"/>
        <v/>
      </c>
      <c r="O928" s="92" t="str">
        <f t="shared" si="2"/>
        <v/>
      </c>
      <c r="P928" s="94">
        <f t="shared" si="3"/>
        <v>0</v>
      </c>
      <c r="Q928" s="94" t="str">
        <f t="shared" si="4"/>
        <v/>
      </c>
      <c r="R928" s="95">
        <f t="shared" si="5"/>
        <v>0</v>
      </c>
      <c r="S928" s="95">
        <f t="shared" si="6"/>
        <v>0</v>
      </c>
      <c r="T928" s="95" t="str">
        <f t="shared" si="7"/>
        <v/>
      </c>
    </row>
    <row r="929">
      <c r="A929" s="106"/>
      <c r="B929" s="107"/>
      <c r="C929" s="106"/>
      <c r="D929" s="108"/>
      <c r="E929" s="109"/>
      <c r="F929" s="110"/>
      <c r="G929" s="110"/>
      <c r="H929" s="111"/>
      <c r="I929" s="92" t="str">
        <f>IFERROR(VLOOKUP(D929,'Công T5'!$C$7:$F$89,4,0),"")</f>
        <v/>
      </c>
      <c r="J929" s="92" t="str">
        <f t="shared" si="8"/>
        <v/>
      </c>
      <c r="K929" s="92" t="str">
        <f t="shared" si="10"/>
        <v/>
      </c>
      <c r="L929" s="92" t="str">
        <f>IFERROR(VLOOKUP(D929,'Công T5'!$C$7:$F$89,2,0),"")</f>
        <v/>
      </c>
      <c r="M929" s="92" t="str">
        <f>IFERROR(VLOOKUP(D929,'Công T5'!$C$7:$F$89,3,0),"")</f>
        <v/>
      </c>
      <c r="N929" s="92" t="str">
        <f t="shared" si="9"/>
        <v/>
      </c>
      <c r="O929" s="92" t="str">
        <f t="shared" si="2"/>
        <v/>
      </c>
      <c r="P929" s="94">
        <f t="shared" si="3"/>
        <v>0</v>
      </c>
      <c r="Q929" s="94" t="str">
        <f t="shared" si="4"/>
        <v/>
      </c>
      <c r="R929" s="95">
        <f t="shared" si="5"/>
        <v>0</v>
      </c>
      <c r="S929" s="95">
        <f t="shared" si="6"/>
        <v>0</v>
      </c>
      <c r="T929" s="95" t="str">
        <f t="shared" si="7"/>
        <v/>
      </c>
    </row>
    <row r="930">
      <c r="A930" s="106"/>
      <c r="B930" s="107"/>
      <c r="C930" s="106"/>
      <c r="D930" s="108"/>
      <c r="E930" s="109"/>
      <c r="F930" s="110"/>
      <c r="G930" s="110"/>
      <c r="H930" s="111"/>
      <c r="I930" s="92" t="str">
        <f>IFERROR(VLOOKUP(D930,'Công T5'!$C$7:$F$89,4,0),"")</f>
        <v/>
      </c>
      <c r="J930" s="92" t="str">
        <f t="shared" si="8"/>
        <v/>
      </c>
      <c r="K930" s="92" t="str">
        <f t="shared" si="10"/>
        <v/>
      </c>
      <c r="L930" s="92" t="str">
        <f>IFERROR(VLOOKUP(D930,'Công T5'!$C$7:$F$89,2,0),"")</f>
        <v/>
      </c>
      <c r="M930" s="92" t="str">
        <f>IFERROR(VLOOKUP(D930,'Công T5'!$C$7:$F$89,3,0),"")</f>
        <v/>
      </c>
      <c r="N930" s="92" t="str">
        <f t="shared" si="9"/>
        <v/>
      </c>
      <c r="O930" s="92" t="str">
        <f t="shared" si="2"/>
        <v/>
      </c>
      <c r="P930" s="94">
        <f t="shared" si="3"/>
        <v>0</v>
      </c>
      <c r="Q930" s="94" t="str">
        <f t="shared" si="4"/>
        <v/>
      </c>
      <c r="R930" s="95">
        <f t="shared" si="5"/>
        <v>0</v>
      </c>
      <c r="S930" s="95">
        <f t="shared" si="6"/>
        <v>0</v>
      </c>
      <c r="T930" s="95" t="str">
        <f t="shared" si="7"/>
        <v/>
      </c>
    </row>
    <row r="931">
      <c r="A931" s="106"/>
      <c r="B931" s="107"/>
      <c r="C931" s="106"/>
      <c r="D931" s="108"/>
      <c r="E931" s="109"/>
      <c r="F931" s="110"/>
      <c r="G931" s="110"/>
      <c r="H931" s="111"/>
      <c r="I931" s="92" t="str">
        <f>IFERROR(VLOOKUP(D931,'Công T5'!$C$7:$F$89,4,0),"")</f>
        <v/>
      </c>
      <c r="J931" s="92" t="str">
        <f t="shared" si="8"/>
        <v/>
      </c>
      <c r="K931" s="92" t="str">
        <f t="shared" si="10"/>
        <v/>
      </c>
      <c r="L931" s="92" t="str">
        <f>IFERROR(VLOOKUP(D931,'Công T5'!$C$7:$F$89,2,0),"")</f>
        <v/>
      </c>
      <c r="M931" s="92" t="str">
        <f>IFERROR(VLOOKUP(D931,'Công T5'!$C$7:$F$89,3,0),"")</f>
        <v/>
      </c>
      <c r="N931" s="92" t="str">
        <f t="shared" si="9"/>
        <v/>
      </c>
      <c r="O931" s="92" t="str">
        <f t="shared" si="2"/>
        <v/>
      </c>
      <c r="P931" s="94">
        <f t="shared" si="3"/>
        <v>0</v>
      </c>
      <c r="Q931" s="94" t="str">
        <f t="shared" si="4"/>
        <v/>
      </c>
      <c r="R931" s="95">
        <f t="shared" si="5"/>
        <v>0</v>
      </c>
      <c r="S931" s="95">
        <f t="shared" si="6"/>
        <v>0</v>
      </c>
      <c r="T931" s="95" t="str">
        <f t="shared" si="7"/>
        <v/>
      </c>
    </row>
    <row r="932">
      <c r="A932" s="106"/>
      <c r="B932" s="107"/>
      <c r="C932" s="106"/>
      <c r="D932" s="108"/>
      <c r="E932" s="109"/>
      <c r="F932" s="110"/>
      <c r="G932" s="110"/>
      <c r="H932" s="111"/>
      <c r="I932" s="92" t="str">
        <f>IFERROR(VLOOKUP(D932,'Công T5'!$C$7:$F$89,4,0),"")</f>
        <v/>
      </c>
      <c r="J932" s="92" t="str">
        <f t="shared" si="8"/>
        <v/>
      </c>
      <c r="K932" s="92" t="str">
        <f t="shared" si="10"/>
        <v/>
      </c>
      <c r="L932" s="92" t="str">
        <f>IFERROR(VLOOKUP(D932,'Công T5'!$C$7:$F$89,2,0),"")</f>
        <v/>
      </c>
      <c r="M932" s="92" t="str">
        <f>IFERROR(VLOOKUP(D932,'Công T5'!$C$7:$F$89,3,0),"")</f>
        <v/>
      </c>
      <c r="N932" s="92" t="str">
        <f t="shared" si="9"/>
        <v/>
      </c>
      <c r="O932" s="92" t="str">
        <f t="shared" si="2"/>
        <v/>
      </c>
      <c r="P932" s="94">
        <f t="shared" si="3"/>
        <v>0</v>
      </c>
      <c r="Q932" s="94" t="str">
        <f t="shared" si="4"/>
        <v/>
      </c>
      <c r="R932" s="95">
        <f t="shared" si="5"/>
        <v>0</v>
      </c>
      <c r="S932" s="95">
        <f t="shared" si="6"/>
        <v>0</v>
      </c>
      <c r="T932" s="95" t="str">
        <f t="shared" si="7"/>
        <v/>
      </c>
    </row>
    <row r="933">
      <c r="A933" s="106"/>
      <c r="B933" s="107"/>
      <c r="C933" s="106"/>
      <c r="D933" s="108"/>
      <c r="E933" s="109"/>
      <c r="F933" s="110"/>
      <c r="G933" s="110"/>
      <c r="H933" s="111"/>
      <c r="I933" s="92" t="str">
        <f>IFERROR(VLOOKUP(D933,'Công T5'!$C$7:$F$89,4,0),"")</f>
        <v/>
      </c>
      <c r="J933" s="92" t="str">
        <f t="shared" si="8"/>
        <v/>
      </c>
      <c r="K933" s="92" t="str">
        <f t="shared" si="10"/>
        <v/>
      </c>
      <c r="L933" s="92" t="str">
        <f>IFERROR(VLOOKUP(D933,'Công T5'!$C$7:$F$89,2,0),"")</f>
        <v/>
      </c>
      <c r="M933" s="92" t="str">
        <f>IFERROR(VLOOKUP(D933,'Công T5'!$C$7:$F$89,3,0),"")</f>
        <v/>
      </c>
      <c r="N933" s="92" t="str">
        <f t="shared" si="9"/>
        <v/>
      </c>
      <c r="O933" s="92" t="str">
        <f t="shared" si="2"/>
        <v/>
      </c>
      <c r="P933" s="94">
        <f t="shared" si="3"/>
        <v>0</v>
      </c>
      <c r="Q933" s="94" t="str">
        <f t="shared" si="4"/>
        <v/>
      </c>
      <c r="R933" s="95">
        <f t="shared" si="5"/>
        <v>0</v>
      </c>
      <c r="S933" s="95">
        <f t="shared" si="6"/>
        <v>0</v>
      </c>
      <c r="T933" s="95" t="str">
        <f t="shared" si="7"/>
        <v/>
      </c>
    </row>
    <row r="934">
      <c r="A934" s="106"/>
      <c r="B934" s="107"/>
      <c r="C934" s="106"/>
      <c r="D934" s="108"/>
      <c r="E934" s="109"/>
      <c r="F934" s="110"/>
      <c r="G934" s="110"/>
      <c r="H934" s="111"/>
      <c r="I934" s="92" t="str">
        <f>IFERROR(VLOOKUP(D934,'Công T5'!$C$7:$F$89,4,0),"")</f>
        <v/>
      </c>
      <c r="J934" s="92" t="str">
        <f t="shared" si="8"/>
        <v/>
      </c>
      <c r="K934" s="92" t="str">
        <f t="shared" si="10"/>
        <v/>
      </c>
      <c r="L934" s="92" t="str">
        <f>IFERROR(VLOOKUP(D934,'Công T5'!$C$7:$F$89,2,0),"")</f>
        <v/>
      </c>
      <c r="M934" s="92" t="str">
        <f>IFERROR(VLOOKUP(D934,'Công T5'!$C$7:$F$89,3,0),"")</f>
        <v/>
      </c>
      <c r="N934" s="92" t="str">
        <f t="shared" si="9"/>
        <v/>
      </c>
      <c r="O934" s="92" t="str">
        <f t="shared" si="2"/>
        <v/>
      </c>
      <c r="P934" s="94">
        <f t="shared" si="3"/>
        <v>0</v>
      </c>
      <c r="Q934" s="94" t="str">
        <f t="shared" si="4"/>
        <v/>
      </c>
      <c r="R934" s="95">
        <f t="shared" si="5"/>
        <v>0</v>
      </c>
      <c r="S934" s="95">
        <f t="shared" si="6"/>
        <v>0</v>
      </c>
      <c r="T934" s="95" t="str">
        <f t="shared" si="7"/>
        <v/>
      </c>
    </row>
    <row r="935">
      <c r="A935" s="106"/>
      <c r="B935" s="107"/>
      <c r="C935" s="106"/>
      <c r="D935" s="108"/>
      <c r="E935" s="109"/>
      <c r="F935" s="110"/>
      <c r="G935" s="110"/>
      <c r="H935" s="111"/>
      <c r="I935" s="92" t="str">
        <f>IFERROR(VLOOKUP(D935,'Công T5'!$C$7:$F$89,4,0),"")</f>
        <v/>
      </c>
      <c r="J935" s="92" t="str">
        <f t="shared" si="8"/>
        <v/>
      </c>
      <c r="K935" s="92" t="str">
        <f t="shared" si="10"/>
        <v/>
      </c>
      <c r="L935" s="92" t="str">
        <f>IFERROR(VLOOKUP(D935,'Công T5'!$C$7:$F$89,2,0),"")</f>
        <v/>
      </c>
      <c r="M935" s="92" t="str">
        <f>IFERROR(VLOOKUP(D935,'Công T5'!$C$7:$F$89,3,0),"")</f>
        <v/>
      </c>
      <c r="N935" s="92" t="str">
        <f t="shared" si="9"/>
        <v/>
      </c>
      <c r="O935" s="92" t="str">
        <f t="shared" si="2"/>
        <v/>
      </c>
      <c r="P935" s="94">
        <f t="shared" si="3"/>
        <v>0</v>
      </c>
      <c r="Q935" s="94" t="str">
        <f t="shared" si="4"/>
        <v/>
      </c>
      <c r="R935" s="95">
        <f t="shared" si="5"/>
        <v>0</v>
      </c>
      <c r="S935" s="95">
        <f t="shared" si="6"/>
        <v>0</v>
      </c>
      <c r="T935" s="95" t="str">
        <f t="shared" si="7"/>
        <v/>
      </c>
    </row>
    <row r="936">
      <c r="A936" s="106"/>
      <c r="B936" s="107"/>
      <c r="C936" s="106"/>
      <c r="D936" s="108"/>
      <c r="E936" s="109"/>
      <c r="F936" s="110"/>
      <c r="G936" s="110"/>
      <c r="H936" s="111"/>
      <c r="I936" s="92" t="str">
        <f>IFERROR(VLOOKUP(D936,'Công T5'!$C$7:$F$89,4,0),"")</f>
        <v/>
      </c>
      <c r="J936" s="92" t="str">
        <f t="shared" si="8"/>
        <v/>
      </c>
      <c r="K936" s="92" t="str">
        <f t="shared" si="10"/>
        <v/>
      </c>
      <c r="L936" s="92" t="str">
        <f>IFERROR(VLOOKUP(D936,'Công T5'!$C$7:$F$89,2,0),"")</f>
        <v/>
      </c>
      <c r="M936" s="92" t="str">
        <f>IFERROR(VLOOKUP(D936,'Công T5'!$C$7:$F$89,3,0),"")</f>
        <v/>
      </c>
      <c r="N936" s="92" t="str">
        <f t="shared" si="9"/>
        <v/>
      </c>
      <c r="O936" s="92" t="str">
        <f t="shared" si="2"/>
        <v/>
      </c>
      <c r="P936" s="94">
        <f t="shared" si="3"/>
        <v>0</v>
      </c>
      <c r="Q936" s="94" t="str">
        <f t="shared" si="4"/>
        <v/>
      </c>
      <c r="R936" s="95">
        <f t="shared" si="5"/>
        <v>0</v>
      </c>
      <c r="S936" s="95">
        <f t="shared" si="6"/>
        <v>0</v>
      </c>
      <c r="T936" s="95" t="str">
        <f t="shared" si="7"/>
        <v/>
      </c>
    </row>
    <row r="937">
      <c r="A937" s="106"/>
      <c r="B937" s="107"/>
      <c r="C937" s="106"/>
      <c r="D937" s="108"/>
      <c r="E937" s="109"/>
      <c r="F937" s="110"/>
      <c r="G937" s="110"/>
      <c r="H937" s="111"/>
      <c r="I937" s="92" t="str">
        <f>IFERROR(VLOOKUP(D937,'Công T5'!$C$7:$F$89,4,0),"")</f>
        <v/>
      </c>
      <c r="J937" s="92" t="str">
        <f t="shared" si="8"/>
        <v/>
      </c>
      <c r="K937" s="92" t="str">
        <f t="shared" si="10"/>
        <v/>
      </c>
      <c r="L937" s="92" t="str">
        <f>IFERROR(VLOOKUP(D937,'Công T5'!$C$7:$F$89,2,0),"")</f>
        <v/>
      </c>
      <c r="M937" s="92" t="str">
        <f>IFERROR(VLOOKUP(D937,'Công T5'!$C$7:$F$89,3,0),"")</f>
        <v/>
      </c>
      <c r="N937" s="92" t="str">
        <f t="shared" si="9"/>
        <v/>
      </c>
      <c r="O937" s="92" t="str">
        <f t="shared" si="2"/>
        <v/>
      </c>
      <c r="P937" s="94">
        <f t="shared" si="3"/>
        <v>0</v>
      </c>
      <c r="Q937" s="94" t="str">
        <f t="shared" si="4"/>
        <v/>
      </c>
      <c r="R937" s="95">
        <f t="shared" si="5"/>
        <v>0</v>
      </c>
      <c r="S937" s="95">
        <f t="shared" si="6"/>
        <v>0</v>
      </c>
      <c r="T937" s="95" t="str">
        <f t="shared" si="7"/>
        <v/>
      </c>
    </row>
    <row r="938">
      <c r="A938" s="106"/>
      <c r="B938" s="107"/>
      <c r="C938" s="106"/>
      <c r="D938" s="108"/>
      <c r="E938" s="109"/>
      <c r="F938" s="110"/>
      <c r="G938" s="110"/>
      <c r="H938" s="111"/>
      <c r="I938" s="92" t="str">
        <f>IFERROR(VLOOKUP(D938,'Công T5'!$C$7:$F$89,4,0),"")</f>
        <v/>
      </c>
      <c r="J938" s="92" t="str">
        <f t="shared" si="8"/>
        <v/>
      </c>
      <c r="K938" s="92" t="str">
        <f t="shared" si="10"/>
        <v/>
      </c>
      <c r="L938" s="92" t="str">
        <f>IFERROR(VLOOKUP(D938,'Công T5'!$C$7:$F$89,2,0),"")</f>
        <v/>
      </c>
      <c r="M938" s="92" t="str">
        <f>IFERROR(VLOOKUP(D938,'Công T5'!$C$7:$F$89,3,0),"")</f>
        <v/>
      </c>
      <c r="N938" s="92" t="str">
        <f t="shared" si="9"/>
        <v/>
      </c>
      <c r="O938" s="92" t="str">
        <f t="shared" si="2"/>
        <v/>
      </c>
      <c r="P938" s="94">
        <f t="shared" si="3"/>
        <v>0</v>
      </c>
      <c r="Q938" s="94" t="str">
        <f t="shared" si="4"/>
        <v/>
      </c>
      <c r="R938" s="95">
        <f t="shared" si="5"/>
        <v>0</v>
      </c>
      <c r="S938" s="95">
        <f t="shared" si="6"/>
        <v>0</v>
      </c>
      <c r="T938" s="95" t="str">
        <f t="shared" si="7"/>
        <v/>
      </c>
    </row>
    <row r="939">
      <c r="A939" s="106"/>
      <c r="B939" s="107"/>
      <c r="C939" s="106"/>
      <c r="D939" s="108"/>
      <c r="E939" s="109"/>
      <c r="F939" s="110"/>
      <c r="G939" s="110"/>
      <c r="H939" s="111"/>
      <c r="I939" s="92" t="str">
        <f>IFERROR(VLOOKUP(D939,'Công T5'!$C$7:$F$89,4,0),"")</f>
        <v/>
      </c>
      <c r="J939" s="92" t="str">
        <f t="shared" si="8"/>
        <v/>
      </c>
      <c r="K939" s="92" t="str">
        <f t="shared" si="10"/>
        <v/>
      </c>
      <c r="L939" s="92" t="str">
        <f>IFERROR(VLOOKUP(D939,'Công T5'!$C$7:$F$89,2,0),"")</f>
        <v/>
      </c>
      <c r="M939" s="92" t="str">
        <f>IFERROR(VLOOKUP(D939,'Công T5'!$C$7:$F$89,3,0),"")</f>
        <v/>
      </c>
      <c r="N939" s="92" t="str">
        <f t="shared" si="9"/>
        <v/>
      </c>
      <c r="O939" s="92" t="str">
        <f t="shared" si="2"/>
        <v/>
      </c>
      <c r="P939" s="94">
        <f t="shared" si="3"/>
        <v>0</v>
      </c>
      <c r="Q939" s="94" t="str">
        <f t="shared" si="4"/>
        <v/>
      </c>
      <c r="R939" s="95">
        <f t="shared" si="5"/>
        <v>0</v>
      </c>
      <c r="S939" s="95">
        <f t="shared" si="6"/>
        <v>0</v>
      </c>
      <c r="T939" s="95" t="str">
        <f t="shared" si="7"/>
        <v/>
      </c>
    </row>
    <row r="940">
      <c r="A940" s="106"/>
      <c r="B940" s="107"/>
      <c r="C940" s="106"/>
      <c r="D940" s="108"/>
      <c r="E940" s="109"/>
      <c r="F940" s="110"/>
      <c r="G940" s="110"/>
      <c r="H940" s="111"/>
      <c r="I940" s="92" t="str">
        <f>IFERROR(VLOOKUP(D940,'Công T5'!$C$7:$F$89,4,0),"")</f>
        <v/>
      </c>
      <c r="J940" s="92" t="str">
        <f t="shared" si="8"/>
        <v/>
      </c>
      <c r="K940" s="92" t="str">
        <f t="shared" si="10"/>
        <v/>
      </c>
      <c r="L940" s="92" t="str">
        <f>IFERROR(VLOOKUP(D940,'Công T5'!$C$7:$F$89,2,0),"")</f>
        <v/>
      </c>
      <c r="M940" s="92" t="str">
        <f>IFERROR(VLOOKUP(D940,'Công T5'!$C$7:$F$89,3,0),"")</f>
        <v/>
      </c>
      <c r="N940" s="92" t="str">
        <f t="shared" si="9"/>
        <v/>
      </c>
      <c r="O940" s="92" t="str">
        <f t="shared" si="2"/>
        <v/>
      </c>
      <c r="P940" s="94">
        <f t="shared" si="3"/>
        <v>0</v>
      </c>
      <c r="Q940" s="94" t="str">
        <f t="shared" si="4"/>
        <v/>
      </c>
      <c r="R940" s="95">
        <f t="shared" si="5"/>
        <v>0</v>
      </c>
      <c r="S940" s="95">
        <f t="shared" si="6"/>
        <v>0</v>
      </c>
      <c r="T940" s="95" t="str">
        <f t="shared" si="7"/>
        <v/>
      </c>
    </row>
    <row r="941">
      <c r="A941" s="106"/>
      <c r="B941" s="107"/>
      <c r="C941" s="106"/>
      <c r="D941" s="108"/>
      <c r="E941" s="109"/>
      <c r="F941" s="110"/>
      <c r="G941" s="110"/>
      <c r="H941" s="111"/>
      <c r="I941" s="92" t="str">
        <f>IFERROR(VLOOKUP(D941,'Công T5'!$C$7:$F$89,4,0),"")</f>
        <v/>
      </c>
      <c r="J941" s="92" t="str">
        <f t="shared" si="8"/>
        <v/>
      </c>
      <c r="K941" s="92" t="str">
        <f t="shared" si="10"/>
        <v/>
      </c>
      <c r="L941" s="92" t="str">
        <f>IFERROR(VLOOKUP(D941,'Công T5'!$C$7:$F$89,2,0),"")</f>
        <v/>
      </c>
      <c r="M941" s="92" t="str">
        <f>IFERROR(VLOOKUP(D941,'Công T5'!$C$7:$F$89,3,0),"")</f>
        <v/>
      </c>
      <c r="N941" s="92" t="str">
        <f t="shared" si="9"/>
        <v/>
      </c>
      <c r="O941" s="92" t="str">
        <f t="shared" si="2"/>
        <v/>
      </c>
      <c r="P941" s="94">
        <f t="shared" si="3"/>
        <v>0</v>
      </c>
      <c r="Q941" s="94" t="str">
        <f t="shared" si="4"/>
        <v/>
      </c>
      <c r="R941" s="95">
        <f t="shared" si="5"/>
        <v>0</v>
      </c>
      <c r="S941" s="95">
        <f t="shared" si="6"/>
        <v>0</v>
      </c>
      <c r="T941" s="95" t="str">
        <f t="shared" si="7"/>
        <v/>
      </c>
    </row>
    <row r="942">
      <c r="A942" s="106"/>
      <c r="B942" s="107"/>
      <c r="C942" s="106"/>
      <c r="D942" s="108"/>
      <c r="E942" s="109"/>
      <c r="F942" s="110"/>
      <c r="G942" s="110"/>
      <c r="H942" s="111"/>
      <c r="I942" s="92" t="str">
        <f>IFERROR(VLOOKUP(D942,'Công T5'!$C$7:$F$89,4,0),"")</f>
        <v/>
      </c>
      <c r="J942" s="92" t="str">
        <f t="shared" si="8"/>
        <v/>
      </c>
      <c r="K942" s="92" t="str">
        <f t="shared" si="10"/>
        <v/>
      </c>
      <c r="L942" s="92" t="str">
        <f>IFERROR(VLOOKUP(D942,'Công T5'!$C$7:$F$89,2,0),"")</f>
        <v/>
      </c>
      <c r="M942" s="92" t="str">
        <f>IFERROR(VLOOKUP(D942,'Công T5'!$C$7:$F$89,3,0),"")</f>
        <v/>
      </c>
      <c r="N942" s="92" t="str">
        <f t="shared" si="9"/>
        <v/>
      </c>
      <c r="O942" s="92" t="str">
        <f t="shared" si="2"/>
        <v/>
      </c>
      <c r="P942" s="94">
        <f t="shared" si="3"/>
        <v>0</v>
      </c>
      <c r="Q942" s="94" t="str">
        <f t="shared" si="4"/>
        <v/>
      </c>
      <c r="R942" s="95">
        <f t="shared" si="5"/>
        <v>0</v>
      </c>
      <c r="S942" s="95">
        <f t="shared" si="6"/>
        <v>0</v>
      </c>
      <c r="T942" s="95" t="str">
        <f t="shared" si="7"/>
        <v/>
      </c>
    </row>
    <row r="943">
      <c r="A943" s="106"/>
      <c r="B943" s="107"/>
      <c r="C943" s="106"/>
      <c r="D943" s="108"/>
      <c r="E943" s="109"/>
      <c r="F943" s="110"/>
      <c r="G943" s="110"/>
      <c r="H943" s="111"/>
      <c r="I943" s="92" t="str">
        <f>IFERROR(VLOOKUP(D943,'Công T5'!$C$7:$F$89,4,0),"")</f>
        <v/>
      </c>
      <c r="J943" s="92" t="str">
        <f t="shared" si="8"/>
        <v/>
      </c>
      <c r="K943" s="92" t="str">
        <f t="shared" si="10"/>
        <v/>
      </c>
      <c r="L943" s="92" t="str">
        <f>IFERROR(VLOOKUP(D943,'Công T5'!$C$7:$F$89,2,0),"")</f>
        <v/>
      </c>
      <c r="M943" s="92" t="str">
        <f>IFERROR(VLOOKUP(D943,'Công T5'!$C$7:$F$89,3,0),"")</f>
        <v/>
      </c>
      <c r="N943" s="92" t="str">
        <f t="shared" si="9"/>
        <v/>
      </c>
      <c r="O943" s="92" t="str">
        <f t="shared" si="2"/>
        <v/>
      </c>
      <c r="P943" s="94">
        <f t="shared" si="3"/>
        <v>0</v>
      </c>
      <c r="Q943" s="94" t="str">
        <f t="shared" si="4"/>
        <v/>
      </c>
      <c r="R943" s="95">
        <f t="shared" si="5"/>
        <v>0</v>
      </c>
      <c r="S943" s="95">
        <f t="shared" si="6"/>
        <v>0</v>
      </c>
      <c r="T943" s="95" t="str">
        <f t="shared" si="7"/>
        <v/>
      </c>
    </row>
    <row r="944">
      <c r="A944" s="106"/>
      <c r="B944" s="107"/>
      <c r="C944" s="106"/>
      <c r="D944" s="108"/>
      <c r="E944" s="109"/>
      <c r="F944" s="110"/>
      <c r="G944" s="110"/>
      <c r="H944" s="111"/>
      <c r="I944" s="92" t="str">
        <f>IFERROR(VLOOKUP(D944,'Công T5'!$C$7:$F$89,4,0),"")</f>
        <v/>
      </c>
      <c r="J944" s="92" t="str">
        <f t="shared" si="8"/>
        <v/>
      </c>
      <c r="K944" s="92" t="str">
        <f t="shared" si="10"/>
        <v/>
      </c>
      <c r="L944" s="92" t="str">
        <f>IFERROR(VLOOKUP(D944,'Công T5'!$C$7:$F$89,2,0),"")</f>
        <v/>
      </c>
      <c r="M944" s="92" t="str">
        <f>IFERROR(VLOOKUP(D944,'Công T5'!$C$7:$F$89,3,0),"")</f>
        <v/>
      </c>
      <c r="N944" s="92" t="str">
        <f t="shared" si="9"/>
        <v/>
      </c>
      <c r="O944" s="92" t="str">
        <f t="shared" si="2"/>
        <v/>
      </c>
      <c r="P944" s="94">
        <f t="shared" si="3"/>
        <v>0</v>
      </c>
      <c r="Q944" s="94" t="str">
        <f t="shared" si="4"/>
        <v/>
      </c>
      <c r="R944" s="95">
        <f t="shared" si="5"/>
        <v>0</v>
      </c>
      <c r="S944" s="95">
        <f t="shared" si="6"/>
        <v>0</v>
      </c>
      <c r="T944" s="95" t="str">
        <f t="shared" si="7"/>
        <v/>
      </c>
    </row>
    <row r="945">
      <c r="A945" s="106"/>
      <c r="B945" s="107"/>
      <c r="C945" s="106"/>
      <c r="D945" s="108"/>
      <c r="E945" s="109"/>
      <c r="F945" s="110"/>
      <c r="G945" s="110"/>
      <c r="H945" s="111"/>
      <c r="I945" s="92" t="str">
        <f>IFERROR(VLOOKUP(D945,'Công T5'!$C$7:$F$89,4,0),"")</f>
        <v/>
      </c>
      <c r="J945" s="92" t="str">
        <f t="shared" si="8"/>
        <v/>
      </c>
      <c r="K945" s="92" t="str">
        <f t="shared" si="10"/>
        <v/>
      </c>
      <c r="L945" s="92" t="str">
        <f>IFERROR(VLOOKUP(D945,'Công T5'!$C$7:$F$89,2,0),"")</f>
        <v/>
      </c>
      <c r="M945" s="92" t="str">
        <f>IFERROR(VLOOKUP(D945,'Công T5'!$C$7:$F$89,3,0),"")</f>
        <v/>
      </c>
      <c r="N945" s="92" t="str">
        <f t="shared" si="9"/>
        <v/>
      </c>
      <c r="O945" s="92" t="str">
        <f t="shared" si="2"/>
        <v/>
      </c>
      <c r="P945" s="94">
        <f t="shared" si="3"/>
        <v>0</v>
      </c>
      <c r="Q945" s="94" t="str">
        <f t="shared" si="4"/>
        <v/>
      </c>
      <c r="R945" s="95">
        <f t="shared" si="5"/>
        <v>0</v>
      </c>
      <c r="S945" s="95">
        <f t="shared" si="6"/>
        <v>0</v>
      </c>
      <c r="T945" s="95" t="str">
        <f t="shared" si="7"/>
        <v/>
      </c>
    </row>
    <row r="946">
      <c r="A946" s="106"/>
      <c r="B946" s="107"/>
      <c r="C946" s="106"/>
      <c r="D946" s="108"/>
      <c r="E946" s="109"/>
      <c r="F946" s="110"/>
      <c r="G946" s="110"/>
      <c r="H946" s="111"/>
      <c r="I946" s="92" t="str">
        <f>IFERROR(VLOOKUP(D946,'Công T5'!$C$7:$F$89,4,0),"")</f>
        <v/>
      </c>
      <c r="J946" s="92" t="str">
        <f t="shared" si="8"/>
        <v/>
      </c>
      <c r="K946" s="92" t="str">
        <f t="shared" si="10"/>
        <v/>
      </c>
      <c r="L946" s="92" t="str">
        <f>IFERROR(VLOOKUP(D946,'Công T5'!$C$7:$F$89,2,0),"")</f>
        <v/>
      </c>
      <c r="M946" s="92" t="str">
        <f>IFERROR(VLOOKUP(D946,'Công T5'!$C$7:$F$89,3,0),"")</f>
        <v/>
      </c>
      <c r="N946" s="92" t="str">
        <f t="shared" si="9"/>
        <v/>
      </c>
      <c r="O946" s="92" t="str">
        <f t="shared" si="2"/>
        <v/>
      </c>
      <c r="P946" s="94">
        <f t="shared" si="3"/>
        <v>0</v>
      </c>
      <c r="Q946" s="94" t="str">
        <f t="shared" si="4"/>
        <v/>
      </c>
      <c r="R946" s="95">
        <f t="shared" si="5"/>
        <v>0</v>
      </c>
      <c r="S946" s="95">
        <f t="shared" si="6"/>
        <v>0</v>
      </c>
      <c r="T946" s="95" t="str">
        <f t="shared" si="7"/>
        <v/>
      </c>
    </row>
    <row r="947">
      <c r="A947" s="106"/>
      <c r="B947" s="107"/>
      <c r="C947" s="106"/>
      <c r="D947" s="108"/>
      <c r="E947" s="109"/>
      <c r="F947" s="110"/>
      <c r="G947" s="110"/>
      <c r="H947" s="111"/>
      <c r="I947" s="92" t="str">
        <f>IFERROR(VLOOKUP(D947,'Công T5'!$C$7:$F$89,4,0),"")</f>
        <v/>
      </c>
      <c r="J947" s="92" t="str">
        <f t="shared" si="8"/>
        <v/>
      </c>
      <c r="K947" s="92" t="str">
        <f t="shared" si="10"/>
        <v/>
      </c>
      <c r="L947" s="92" t="str">
        <f>IFERROR(VLOOKUP(D947,'Công T5'!$C$7:$F$89,2,0),"")</f>
        <v/>
      </c>
      <c r="M947" s="92" t="str">
        <f>IFERROR(VLOOKUP(D947,'Công T5'!$C$7:$F$89,3,0),"")</f>
        <v/>
      </c>
      <c r="N947" s="92" t="str">
        <f t="shared" si="9"/>
        <v/>
      </c>
      <c r="O947" s="92" t="str">
        <f t="shared" si="2"/>
        <v/>
      </c>
      <c r="P947" s="94">
        <f t="shared" si="3"/>
        <v>0</v>
      </c>
      <c r="Q947" s="94" t="str">
        <f t="shared" si="4"/>
        <v/>
      </c>
      <c r="R947" s="95">
        <f t="shared" si="5"/>
        <v>0</v>
      </c>
      <c r="S947" s="95">
        <f t="shared" si="6"/>
        <v>0</v>
      </c>
      <c r="T947" s="95" t="str">
        <f t="shared" si="7"/>
        <v/>
      </c>
    </row>
    <row r="948">
      <c r="A948" s="106"/>
      <c r="B948" s="107"/>
      <c r="C948" s="106"/>
      <c r="D948" s="108"/>
      <c r="E948" s="109"/>
      <c r="F948" s="110"/>
      <c r="G948" s="110"/>
      <c r="H948" s="111"/>
      <c r="I948" s="92" t="str">
        <f>IFERROR(VLOOKUP(D948,'Công T5'!$C$7:$F$89,4,0),"")</f>
        <v/>
      </c>
      <c r="J948" s="92" t="str">
        <f t="shared" si="8"/>
        <v/>
      </c>
      <c r="K948" s="92" t="str">
        <f t="shared" si="10"/>
        <v/>
      </c>
      <c r="L948" s="92" t="str">
        <f>IFERROR(VLOOKUP(D948,'Công T5'!$C$7:$F$89,2,0),"")</f>
        <v/>
      </c>
      <c r="M948" s="92" t="str">
        <f>IFERROR(VLOOKUP(D948,'Công T5'!$C$7:$F$89,3,0),"")</f>
        <v/>
      </c>
      <c r="N948" s="92" t="str">
        <f t="shared" si="9"/>
        <v/>
      </c>
      <c r="O948" s="92" t="str">
        <f t="shared" si="2"/>
        <v/>
      </c>
      <c r="P948" s="94">
        <f t="shared" si="3"/>
        <v>0</v>
      </c>
      <c r="Q948" s="94" t="str">
        <f t="shared" si="4"/>
        <v/>
      </c>
      <c r="R948" s="95">
        <f t="shared" si="5"/>
        <v>0</v>
      </c>
      <c r="S948" s="95">
        <f t="shared" si="6"/>
        <v>0</v>
      </c>
      <c r="T948" s="95" t="str">
        <f t="shared" si="7"/>
        <v/>
      </c>
    </row>
    <row r="949">
      <c r="A949" s="106"/>
      <c r="B949" s="107"/>
      <c r="C949" s="106"/>
      <c r="D949" s="108"/>
      <c r="E949" s="109"/>
      <c r="F949" s="110"/>
      <c r="G949" s="110"/>
      <c r="H949" s="111"/>
      <c r="I949" s="92" t="str">
        <f>IFERROR(VLOOKUP(D949,'Công T5'!$C$7:$F$89,4,0),"")</f>
        <v/>
      </c>
      <c r="J949" s="92" t="str">
        <f t="shared" si="8"/>
        <v/>
      </c>
      <c r="K949" s="92" t="str">
        <f t="shared" si="10"/>
        <v/>
      </c>
      <c r="L949" s="92" t="str">
        <f>IFERROR(VLOOKUP(D949,'Công T5'!$C$7:$F$89,2,0),"")</f>
        <v/>
      </c>
      <c r="M949" s="92" t="str">
        <f>IFERROR(VLOOKUP(D949,'Công T5'!$C$7:$F$89,3,0),"")</f>
        <v/>
      </c>
      <c r="N949" s="92" t="str">
        <f t="shared" si="9"/>
        <v/>
      </c>
      <c r="O949" s="92" t="str">
        <f t="shared" si="2"/>
        <v/>
      </c>
      <c r="P949" s="94">
        <f t="shared" si="3"/>
        <v>0</v>
      </c>
      <c r="Q949" s="94" t="str">
        <f t="shared" si="4"/>
        <v/>
      </c>
      <c r="R949" s="95">
        <f t="shared" si="5"/>
        <v>0</v>
      </c>
      <c r="S949" s="95">
        <f t="shared" si="6"/>
        <v>0</v>
      </c>
      <c r="T949" s="95" t="str">
        <f t="shared" si="7"/>
        <v/>
      </c>
    </row>
    <row r="950">
      <c r="A950" s="106"/>
      <c r="B950" s="107"/>
      <c r="C950" s="106"/>
      <c r="D950" s="108"/>
      <c r="E950" s="109"/>
      <c r="F950" s="110"/>
      <c r="G950" s="110"/>
      <c r="H950" s="111"/>
      <c r="I950" s="92" t="str">
        <f>IFERROR(VLOOKUP(D950,'Công T5'!$C$7:$F$89,4,0),"")</f>
        <v/>
      </c>
      <c r="J950" s="92" t="str">
        <f t="shared" si="8"/>
        <v/>
      </c>
      <c r="K950" s="92" t="str">
        <f t="shared" si="10"/>
        <v/>
      </c>
      <c r="L950" s="92" t="str">
        <f>IFERROR(VLOOKUP(D950,'Công T5'!$C$7:$F$89,2,0),"")</f>
        <v/>
      </c>
      <c r="M950" s="92" t="str">
        <f>IFERROR(VLOOKUP(D950,'Công T5'!$C$7:$F$89,3,0),"")</f>
        <v/>
      </c>
      <c r="N950" s="92" t="str">
        <f t="shared" si="9"/>
        <v/>
      </c>
      <c r="O950" s="92" t="str">
        <f t="shared" si="2"/>
        <v/>
      </c>
      <c r="P950" s="94">
        <f t="shared" si="3"/>
        <v>0</v>
      </c>
      <c r="Q950" s="94" t="str">
        <f t="shared" si="4"/>
        <v/>
      </c>
      <c r="R950" s="95">
        <f t="shared" si="5"/>
        <v>0</v>
      </c>
      <c r="S950" s="95">
        <f t="shared" si="6"/>
        <v>0</v>
      </c>
      <c r="T950" s="95" t="str">
        <f t="shared" si="7"/>
        <v/>
      </c>
    </row>
    <row r="951">
      <c r="A951" s="106"/>
      <c r="B951" s="107"/>
      <c r="C951" s="106"/>
      <c r="D951" s="108"/>
      <c r="E951" s="109"/>
      <c r="F951" s="110"/>
      <c r="G951" s="110"/>
      <c r="H951" s="111"/>
      <c r="I951" s="92" t="str">
        <f>IFERROR(VLOOKUP(D951,'Công T5'!$C$7:$F$89,4,0),"")</f>
        <v/>
      </c>
      <c r="J951" s="92" t="str">
        <f t="shared" si="8"/>
        <v/>
      </c>
      <c r="K951" s="92" t="str">
        <f t="shared" si="10"/>
        <v/>
      </c>
      <c r="L951" s="92" t="str">
        <f>IFERROR(VLOOKUP(D951,'Công T5'!$C$7:$F$89,2,0),"")</f>
        <v/>
      </c>
      <c r="M951" s="92" t="str">
        <f>IFERROR(VLOOKUP(D951,'Công T5'!$C$7:$F$89,3,0),"")</f>
        <v/>
      </c>
      <c r="N951" s="92" t="str">
        <f t="shared" si="9"/>
        <v/>
      </c>
      <c r="O951" s="92" t="str">
        <f t="shared" si="2"/>
        <v/>
      </c>
      <c r="P951" s="94">
        <f t="shared" si="3"/>
        <v>0</v>
      </c>
      <c r="Q951" s="94" t="str">
        <f t="shared" si="4"/>
        <v/>
      </c>
      <c r="R951" s="95">
        <f t="shared" si="5"/>
        <v>0</v>
      </c>
      <c r="S951" s="95">
        <f t="shared" si="6"/>
        <v>0</v>
      </c>
      <c r="T951" s="95" t="str">
        <f t="shared" si="7"/>
        <v/>
      </c>
    </row>
    <row r="952">
      <c r="A952" s="106"/>
      <c r="B952" s="107"/>
      <c r="C952" s="106"/>
      <c r="D952" s="108"/>
      <c r="E952" s="109"/>
      <c r="F952" s="110"/>
      <c r="G952" s="110"/>
      <c r="H952" s="111"/>
      <c r="I952" s="92" t="str">
        <f>IFERROR(VLOOKUP(D952,'Công T5'!$C$7:$F$89,4,0),"")</f>
        <v/>
      </c>
      <c r="J952" s="92" t="str">
        <f t="shared" si="8"/>
        <v/>
      </c>
      <c r="K952" s="92" t="str">
        <f t="shared" si="10"/>
        <v/>
      </c>
      <c r="L952" s="92" t="str">
        <f>IFERROR(VLOOKUP(D952,'Công T5'!$C$7:$F$89,2,0),"")</f>
        <v/>
      </c>
      <c r="M952" s="92" t="str">
        <f>IFERROR(VLOOKUP(D952,'Công T5'!$C$7:$F$89,3,0),"")</f>
        <v/>
      </c>
      <c r="N952" s="92" t="str">
        <f t="shared" si="9"/>
        <v/>
      </c>
      <c r="O952" s="92" t="str">
        <f t="shared" si="2"/>
        <v/>
      </c>
      <c r="P952" s="94">
        <f t="shared" si="3"/>
        <v>0</v>
      </c>
      <c r="Q952" s="94" t="str">
        <f t="shared" si="4"/>
        <v/>
      </c>
      <c r="R952" s="95">
        <f t="shared" si="5"/>
        <v>0</v>
      </c>
      <c r="S952" s="95">
        <f t="shared" si="6"/>
        <v>0</v>
      </c>
      <c r="T952" s="95" t="str">
        <f t="shared" si="7"/>
        <v/>
      </c>
    </row>
    <row r="953">
      <c r="A953" s="106"/>
      <c r="B953" s="107"/>
      <c r="C953" s="106"/>
      <c r="D953" s="108"/>
      <c r="E953" s="109"/>
      <c r="F953" s="110"/>
      <c r="G953" s="110"/>
      <c r="H953" s="111"/>
      <c r="I953" s="92" t="str">
        <f>IFERROR(VLOOKUP(D953,'Công T5'!$C$7:$F$89,4,0),"")</f>
        <v/>
      </c>
      <c r="J953" s="92" t="str">
        <f t="shared" si="8"/>
        <v/>
      </c>
      <c r="K953" s="92" t="str">
        <f t="shared" si="10"/>
        <v/>
      </c>
      <c r="L953" s="92" t="str">
        <f>IFERROR(VLOOKUP(D953,'Công T5'!$C$7:$F$89,2,0),"")</f>
        <v/>
      </c>
      <c r="M953" s="92" t="str">
        <f>IFERROR(VLOOKUP(D953,'Công T5'!$C$7:$F$89,3,0),"")</f>
        <v/>
      </c>
      <c r="N953" s="92" t="str">
        <f t="shared" si="9"/>
        <v/>
      </c>
      <c r="O953" s="92" t="str">
        <f t="shared" si="2"/>
        <v/>
      </c>
      <c r="P953" s="94">
        <f t="shared" si="3"/>
        <v>0</v>
      </c>
      <c r="Q953" s="94" t="str">
        <f t="shared" si="4"/>
        <v/>
      </c>
      <c r="R953" s="95">
        <f t="shared" si="5"/>
        <v>0</v>
      </c>
      <c r="S953" s="95">
        <f t="shared" si="6"/>
        <v>0</v>
      </c>
      <c r="T953" s="95" t="str">
        <f t="shared" si="7"/>
        <v/>
      </c>
    </row>
    <row r="954">
      <c r="A954" s="106"/>
      <c r="B954" s="107"/>
      <c r="C954" s="106"/>
      <c r="D954" s="108"/>
      <c r="E954" s="109"/>
      <c r="F954" s="110"/>
      <c r="G954" s="110"/>
      <c r="H954" s="111"/>
      <c r="I954" s="92" t="str">
        <f>IFERROR(VLOOKUP(D954,'Công T5'!$C$7:$F$89,4,0),"")</f>
        <v/>
      </c>
      <c r="J954" s="92" t="str">
        <f t="shared" si="8"/>
        <v/>
      </c>
      <c r="K954" s="92" t="str">
        <f t="shared" si="10"/>
        <v/>
      </c>
      <c r="L954" s="92" t="str">
        <f>IFERROR(VLOOKUP(D954,'Công T5'!$C$7:$F$89,2,0),"")</f>
        <v/>
      </c>
      <c r="M954" s="92" t="str">
        <f>IFERROR(VLOOKUP(D954,'Công T5'!$C$7:$F$89,3,0),"")</f>
        <v/>
      </c>
      <c r="N954" s="92" t="str">
        <f t="shared" si="9"/>
        <v/>
      </c>
      <c r="O954" s="92" t="str">
        <f t="shared" si="2"/>
        <v/>
      </c>
      <c r="P954" s="94">
        <f t="shared" si="3"/>
        <v>0</v>
      </c>
      <c r="Q954" s="94" t="str">
        <f t="shared" si="4"/>
        <v/>
      </c>
      <c r="R954" s="95">
        <f t="shared" si="5"/>
        <v>0</v>
      </c>
      <c r="S954" s="95">
        <f t="shared" si="6"/>
        <v>0</v>
      </c>
      <c r="T954" s="95" t="str">
        <f t="shared" si="7"/>
        <v/>
      </c>
    </row>
    <row r="955">
      <c r="A955" s="106"/>
      <c r="B955" s="107"/>
      <c r="C955" s="106"/>
      <c r="D955" s="108"/>
      <c r="E955" s="109"/>
      <c r="F955" s="110"/>
      <c r="G955" s="110"/>
      <c r="H955" s="111"/>
      <c r="I955" s="92" t="str">
        <f>IFERROR(VLOOKUP(D955,'Công T5'!$C$7:$F$89,4,0),"")</f>
        <v/>
      </c>
      <c r="J955" s="92" t="str">
        <f t="shared" si="8"/>
        <v/>
      </c>
      <c r="K955" s="92" t="str">
        <f t="shared" si="10"/>
        <v/>
      </c>
      <c r="L955" s="92" t="str">
        <f>IFERROR(VLOOKUP(D955,'Công T5'!$C$7:$F$89,2,0),"")</f>
        <v/>
      </c>
      <c r="M955" s="92" t="str">
        <f>IFERROR(VLOOKUP(D955,'Công T5'!$C$7:$F$89,3,0),"")</f>
        <v/>
      </c>
      <c r="N955" s="92" t="str">
        <f t="shared" si="9"/>
        <v/>
      </c>
      <c r="O955" s="92" t="str">
        <f t="shared" si="2"/>
        <v/>
      </c>
      <c r="P955" s="94">
        <f t="shared" si="3"/>
        <v>0</v>
      </c>
      <c r="Q955" s="94" t="str">
        <f t="shared" si="4"/>
        <v/>
      </c>
      <c r="R955" s="95">
        <f t="shared" si="5"/>
        <v>0</v>
      </c>
      <c r="S955" s="95">
        <f t="shared" si="6"/>
        <v>0</v>
      </c>
      <c r="T955" s="95" t="str">
        <f t="shared" si="7"/>
        <v/>
      </c>
    </row>
    <row r="956">
      <c r="A956" s="106"/>
      <c r="B956" s="107"/>
      <c r="C956" s="106"/>
      <c r="D956" s="108"/>
      <c r="E956" s="109"/>
      <c r="F956" s="110"/>
      <c r="G956" s="110"/>
      <c r="H956" s="111"/>
      <c r="I956" s="92" t="str">
        <f>IFERROR(VLOOKUP(D956,'Công T5'!$C$7:$F$89,4,0),"")</f>
        <v/>
      </c>
      <c r="J956" s="92" t="str">
        <f t="shared" si="8"/>
        <v/>
      </c>
      <c r="K956" s="92" t="str">
        <f t="shared" si="10"/>
        <v/>
      </c>
      <c r="L956" s="92" t="str">
        <f>IFERROR(VLOOKUP(D956,'Công T5'!$C$7:$F$89,2,0),"")</f>
        <v/>
      </c>
      <c r="M956" s="92" t="str">
        <f>IFERROR(VLOOKUP(D956,'Công T5'!$C$7:$F$89,3,0),"")</f>
        <v/>
      </c>
      <c r="N956" s="92" t="str">
        <f t="shared" si="9"/>
        <v/>
      </c>
      <c r="O956" s="92" t="str">
        <f t="shared" si="2"/>
        <v/>
      </c>
      <c r="P956" s="94">
        <f t="shared" si="3"/>
        <v>0</v>
      </c>
      <c r="Q956" s="94" t="str">
        <f t="shared" si="4"/>
        <v/>
      </c>
      <c r="R956" s="95">
        <f t="shared" si="5"/>
        <v>0</v>
      </c>
      <c r="S956" s="95">
        <f t="shared" si="6"/>
        <v>0</v>
      </c>
      <c r="T956" s="95" t="str">
        <f t="shared" si="7"/>
        <v/>
      </c>
    </row>
    <row r="957">
      <c r="A957" s="106"/>
      <c r="B957" s="107"/>
      <c r="C957" s="106"/>
      <c r="D957" s="108"/>
      <c r="E957" s="109"/>
      <c r="F957" s="110"/>
      <c r="G957" s="110"/>
      <c r="H957" s="111"/>
      <c r="I957" s="92" t="str">
        <f>IFERROR(VLOOKUP(D957,'Công T5'!$C$7:$F$89,4,0),"")</f>
        <v/>
      </c>
      <c r="J957" s="92" t="str">
        <f t="shared" si="8"/>
        <v/>
      </c>
      <c r="K957" s="92" t="str">
        <f t="shared" si="10"/>
        <v/>
      </c>
      <c r="L957" s="92" t="str">
        <f>IFERROR(VLOOKUP(D957,'Công T5'!$C$7:$F$89,2,0),"")</f>
        <v/>
      </c>
      <c r="M957" s="92" t="str">
        <f>IFERROR(VLOOKUP(D957,'Công T5'!$C$7:$F$89,3,0),"")</f>
        <v/>
      </c>
      <c r="N957" s="92" t="str">
        <f t="shared" si="9"/>
        <v/>
      </c>
      <c r="O957" s="92" t="str">
        <f t="shared" si="2"/>
        <v/>
      </c>
      <c r="P957" s="94">
        <f t="shared" si="3"/>
        <v>0</v>
      </c>
      <c r="Q957" s="94" t="str">
        <f t="shared" si="4"/>
        <v/>
      </c>
      <c r="R957" s="95">
        <f t="shared" si="5"/>
        <v>0</v>
      </c>
      <c r="S957" s="95">
        <f t="shared" si="6"/>
        <v>0</v>
      </c>
      <c r="T957" s="95" t="str">
        <f t="shared" si="7"/>
        <v/>
      </c>
    </row>
    <row r="958">
      <c r="A958" s="106"/>
      <c r="B958" s="107"/>
      <c r="C958" s="106"/>
      <c r="D958" s="108"/>
      <c r="E958" s="109"/>
      <c r="F958" s="110"/>
      <c r="G958" s="110"/>
      <c r="H958" s="111"/>
      <c r="I958" s="92" t="str">
        <f>IFERROR(VLOOKUP(D958,'Công T5'!$C$7:$F$89,4,0),"")</f>
        <v/>
      </c>
      <c r="J958" s="92" t="str">
        <f t="shared" si="8"/>
        <v/>
      </c>
      <c r="K958" s="92" t="str">
        <f t="shared" si="10"/>
        <v/>
      </c>
      <c r="L958" s="92" t="str">
        <f>IFERROR(VLOOKUP(D958,'Công T5'!$C$7:$F$89,2,0),"")</f>
        <v/>
      </c>
      <c r="M958" s="92" t="str">
        <f>IFERROR(VLOOKUP(D958,'Công T5'!$C$7:$F$89,3,0),"")</f>
        <v/>
      </c>
      <c r="N958" s="92" t="str">
        <f t="shared" si="9"/>
        <v/>
      </c>
      <c r="O958" s="92" t="str">
        <f t="shared" si="2"/>
        <v/>
      </c>
      <c r="P958" s="94">
        <f t="shared" si="3"/>
        <v>0</v>
      </c>
      <c r="Q958" s="94" t="str">
        <f t="shared" si="4"/>
        <v/>
      </c>
      <c r="R958" s="95">
        <f t="shared" si="5"/>
        <v>0</v>
      </c>
      <c r="S958" s="95">
        <f t="shared" si="6"/>
        <v>0</v>
      </c>
      <c r="T958" s="95" t="str">
        <f t="shared" si="7"/>
        <v/>
      </c>
    </row>
    <row r="959">
      <c r="A959" s="106"/>
      <c r="B959" s="107"/>
      <c r="C959" s="106"/>
      <c r="D959" s="108"/>
      <c r="E959" s="109"/>
      <c r="F959" s="110"/>
      <c r="G959" s="110"/>
      <c r="H959" s="111"/>
      <c r="I959" s="92" t="str">
        <f>IFERROR(VLOOKUP(D959,'Công T5'!$C$7:$F$89,4,0),"")</f>
        <v/>
      </c>
      <c r="J959" s="92" t="str">
        <f t="shared" si="8"/>
        <v/>
      </c>
      <c r="K959" s="92" t="str">
        <f t="shared" si="10"/>
        <v/>
      </c>
      <c r="L959" s="92" t="str">
        <f>IFERROR(VLOOKUP(D959,'Công T5'!$C$7:$F$89,2,0),"")</f>
        <v/>
      </c>
      <c r="M959" s="92" t="str">
        <f>IFERROR(VLOOKUP(D959,'Công T5'!$C$7:$F$89,3,0),"")</f>
        <v/>
      </c>
      <c r="N959" s="92" t="str">
        <f t="shared" si="9"/>
        <v/>
      </c>
      <c r="O959" s="92" t="str">
        <f t="shared" si="2"/>
        <v/>
      </c>
      <c r="P959" s="94">
        <f t="shared" si="3"/>
        <v>0</v>
      </c>
      <c r="Q959" s="94" t="str">
        <f t="shared" si="4"/>
        <v/>
      </c>
      <c r="R959" s="95">
        <f t="shared" si="5"/>
        <v>0</v>
      </c>
      <c r="S959" s="95">
        <f t="shared" si="6"/>
        <v>0</v>
      </c>
      <c r="T959" s="95" t="str">
        <f t="shared" si="7"/>
        <v/>
      </c>
    </row>
    <row r="960">
      <c r="A960" s="106"/>
      <c r="B960" s="107"/>
      <c r="C960" s="106"/>
      <c r="D960" s="108"/>
      <c r="E960" s="109"/>
      <c r="F960" s="110"/>
      <c r="G960" s="110"/>
      <c r="H960" s="111"/>
      <c r="I960" s="92" t="str">
        <f>IFERROR(VLOOKUP(D960,'Công T5'!$C$7:$F$89,4,0),"")</f>
        <v/>
      </c>
      <c r="J960" s="92" t="str">
        <f t="shared" si="8"/>
        <v/>
      </c>
      <c r="K960" s="92" t="str">
        <f t="shared" si="10"/>
        <v/>
      </c>
      <c r="L960" s="92" t="str">
        <f>IFERROR(VLOOKUP(D960,'Công T5'!$C$7:$F$89,2,0),"")</f>
        <v/>
      </c>
      <c r="M960" s="92" t="str">
        <f>IFERROR(VLOOKUP(D960,'Công T5'!$C$7:$F$89,3,0),"")</f>
        <v/>
      </c>
      <c r="N960" s="92" t="str">
        <f t="shared" si="9"/>
        <v/>
      </c>
      <c r="O960" s="92" t="str">
        <f t="shared" si="2"/>
        <v/>
      </c>
      <c r="P960" s="94">
        <f t="shared" si="3"/>
        <v>0</v>
      </c>
      <c r="Q960" s="94" t="str">
        <f t="shared" si="4"/>
        <v/>
      </c>
      <c r="R960" s="95">
        <f t="shared" si="5"/>
        <v>0</v>
      </c>
      <c r="S960" s="95">
        <f t="shared" si="6"/>
        <v>0</v>
      </c>
      <c r="T960" s="95" t="str">
        <f t="shared" si="7"/>
        <v/>
      </c>
    </row>
    <row r="961">
      <c r="A961" s="106"/>
      <c r="B961" s="107"/>
      <c r="C961" s="106"/>
      <c r="D961" s="108"/>
      <c r="E961" s="109"/>
      <c r="F961" s="110"/>
      <c r="G961" s="110"/>
      <c r="H961" s="111"/>
      <c r="I961" s="92" t="str">
        <f>IFERROR(VLOOKUP(D961,'Công T5'!$C$7:$F$89,4,0),"")</f>
        <v/>
      </c>
      <c r="J961" s="92" t="str">
        <f t="shared" si="8"/>
        <v/>
      </c>
      <c r="K961" s="92" t="str">
        <f t="shared" si="10"/>
        <v/>
      </c>
      <c r="L961" s="92" t="str">
        <f>IFERROR(VLOOKUP(D961,'Công T5'!$C$7:$F$89,2,0),"")</f>
        <v/>
      </c>
      <c r="M961" s="92" t="str">
        <f>IFERROR(VLOOKUP(D961,'Công T5'!$C$7:$F$89,3,0),"")</f>
        <v/>
      </c>
      <c r="N961" s="92" t="str">
        <f t="shared" si="9"/>
        <v/>
      </c>
      <c r="O961" s="92" t="str">
        <f t="shared" si="2"/>
        <v/>
      </c>
      <c r="P961" s="94">
        <f t="shared" si="3"/>
        <v>0</v>
      </c>
      <c r="Q961" s="94" t="str">
        <f t="shared" si="4"/>
        <v/>
      </c>
      <c r="R961" s="95">
        <f t="shared" si="5"/>
        <v>0</v>
      </c>
      <c r="S961" s="95">
        <f t="shared" si="6"/>
        <v>0</v>
      </c>
      <c r="T961" s="95" t="str">
        <f t="shared" si="7"/>
        <v/>
      </c>
    </row>
    <row r="962">
      <c r="A962" s="106"/>
      <c r="B962" s="107"/>
      <c r="C962" s="106"/>
      <c r="D962" s="108"/>
      <c r="E962" s="109"/>
      <c r="F962" s="110"/>
      <c r="G962" s="110"/>
      <c r="H962" s="111"/>
      <c r="I962" s="92" t="str">
        <f>IFERROR(VLOOKUP(D962,'Công T5'!$C$7:$F$89,4,0),"")</f>
        <v/>
      </c>
      <c r="J962" s="92" t="str">
        <f t="shared" si="8"/>
        <v/>
      </c>
      <c r="K962" s="92" t="str">
        <f t="shared" si="10"/>
        <v/>
      </c>
      <c r="L962" s="92" t="str">
        <f>IFERROR(VLOOKUP(D962,'Công T5'!$C$7:$F$89,2,0),"")</f>
        <v/>
      </c>
      <c r="M962" s="92" t="str">
        <f>IFERROR(VLOOKUP(D962,'Công T5'!$C$7:$F$89,3,0),"")</f>
        <v/>
      </c>
      <c r="N962" s="92" t="str">
        <f t="shared" si="9"/>
        <v/>
      </c>
      <c r="O962" s="92" t="str">
        <f t="shared" si="2"/>
        <v/>
      </c>
      <c r="P962" s="94">
        <f t="shared" si="3"/>
        <v>0</v>
      </c>
      <c r="Q962" s="94" t="str">
        <f t="shared" si="4"/>
        <v/>
      </c>
      <c r="R962" s="95">
        <f t="shared" si="5"/>
        <v>0</v>
      </c>
      <c r="S962" s="95">
        <f t="shared" si="6"/>
        <v>0</v>
      </c>
      <c r="T962" s="95" t="str">
        <f t="shared" si="7"/>
        <v/>
      </c>
    </row>
    <row r="963">
      <c r="A963" s="106"/>
      <c r="B963" s="107"/>
      <c r="C963" s="106"/>
      <c r="D963" s="108"/>
      <c r="E963" s="109"/>
      <c r="F963" s="110"/>
      <c r="G963" s="110"/>
      <c r="H963" s="111"/>
      <c r="I963" s="92" t="str">
        <f>IFERROR(VLOOKUP(D963,'Công T5'!$C$7:$F$89,4,0),"")</f>
        <v/>
      </c>
      <c r="J963" s="92" t="str">
        <f t="shared" si="8"/>
        <v/>
      </c>
      <c r="K963" s="92" t="str">
        <f t="shared" si="10"/>
        <v/>
      </c>
      <c r="L963" s="92" t="str">
        <f>IFERROR(VLOOKUP(D963,'Công T5'!$C$7:$F$89,2,0),"")</f>
        <v/>
      </c>
      <c r="M963" s="92" t="str">
        <f>IFERROR(VLOOKUP(D963,'Công T5'!$C$7:$F$89,3,0),"")</f>
        <v/>
      </c>
      <c r="N963" s="92" t="str">
        <f t="shared" si="9"/>
        <v/>
      </c>
      <c r="O963" s="92" t="str">
        <f t="shared" si="2"/>
        <v/>
      </c>
      <c r="P963" s="94">
        <f t="shared" si="3"/>
        <v>0</v>
      </c>
      <c r="Q963" s="94" t="str">
        <f t="shared" si="4"/>
        <v/>
      </c>
      <c r="R963" s="95">
        <f t="shared" si="5"/>
        <v>0</v>
      </c>
      <c r="S963" s="95">
        <f t="shared" si="6"/>
        <v>0</v>
      </c>
      <c r="T963" s="95" t="str">
        <f t="shared" si="7"/>
        <v/>
      </c>
    </row>
    <row r="964">
      <c r="A964" s="106"/>
      <c r="B964" s="107"/>
      <c r="C964" s="106"/>
      <c r="D964" s="108"/>
      <c r="E964" s="109"/>
      <c r="F964" s="110"/>
      <c r="G964" s="110"/>
      <c r="H964" s="111"/>
      <c r="I964" s="92" t="str">
        <f>IFERROR(VLOOKUP(D964,'Công T5'!$C$7:$F$89,4,0),"")</f>
        <v/>
      </c>
      <c r="J964" s="92" t="str">
        <f t="shared" si="8"/>
        <v/>
      </c>
      <c r="K964" s="92" t="str">
        <f t="shared" si="10"/>
        <v/>
      </c>
      <c r="L964" s="92" t="str">
        <f>IFERROR(VLOOKUP(D964,'Công T5'!$C$7:$F$89,2,0),"")</f>
        <v/>
      </c>
      <c r="M964" s="92" t="str">
        <f>IFERROR(VLOOKUP(D964,'Công T5'!$C$7:$F$89,3,0),"")</f>
        <v/>
      </c>
      <c r="N964" s="92" t="str">
        <f t="shared" si="9"/>
        <v/>
      </c>
      <c r="O964" s="92" t="str">
        <f t="shared" si="2"/>
        <v/>
      </c>
      <c r="P964" s="94">
        <f t="shared" si="3"/>
        <v>0</v>
      </c>
      <c r="Q964" s="94" t="str">
        <f t="shared" si="4"/>
        <v/>
      </c>
      <c r="R964" s="95">
        <f t="shared" si="5"/>
        <v>0</v>
      </c>
      <c r="S964" s="95">
        <f t="shared" si="6"/>
        <v>0</v>
      </c>
      <c r="T964" s="95" t="str">
        <f t="shared" si="7"/>
        <v/>
      </c>
    </row>
    <row r="965">
      <c r="A965" s="106"/>
      <c r="B965" s="107"/>
      <c r="C965" s="106"/>
      <c r="D965" s="108"/>
      <c r="E965" s="109"/>
      <c r="F965" s="110"/>
      <c r="G965" s="110"/>
      <c r="H965" s="111"/>
      <c r="I965" s="92" t="str">
        <f>IFERROR(VLOOKUP(D965,'Công T5'!$C$7:$F$89,4,0),"")</f>
        <v/>
      </c>
      <c r="J965" s="92" t="str">
        <f t="shared" si="8"/>
        <v/>
      </c>
      <c r="K965" s="92" t="str">
        <f t="shared" si="10"/>
        <v/>
      </c>
      <c r="L965" s="92" t="str">
        <f>IFERROR(VLOOKUP(D965,'Công T5'!$C$7:$F$89,2,0),"")</f>
        <v/>
      </c>
      <c r="M965" s="92" t="str">
        <f>IFERROR(VLOOKUP(D965,'Công T5'!$C$7:$F$89,3,0),"")</f>
        <v/>
      </c>
      <c r="N965" s="92" t="str">
        <f t="shared" si="9"/>
        <v/>
      </c>
      <c r="O965" s="92" t="str">
        <f t="shared" si="2"/>
        <v/>
      </c>
      <c r="P965" s="94">
        <f t="shared" si="3"/>
        <v>0</v>
      </c>
      <c r="Q965" s="94" t="str">
        <f t="shared" si="4"/>
        <v/>
      </c>
      <c r="R965" s="95">
        <f t="shared" si="5"/>
        <v>0</v>
      </c>
      <c r="S965" s="95">
        <f t="shared" si="6"/>
        <v>0</v>
      </c>
      <c r="T965" s="95" t="str">
        <f t="shared" si="7"/>
        <v/>
      </c>
    </row>
    <row r="966">
      <c r="A966" s="106"/>
      <c r="B966" s="107"/>
      <c r="C966" s="106"/>
      <c r="D966" s="108"/>
      <c r="E966" s="109"/>
      <c r="F966" s="110"/>
      <c r="G966" s="110"/>
      <c r="H966" s="111"/>
      <c r="I966" s="92" t="str">
        <f>IFERROR(VLOOKUP(D966,'Công T5'!$C$7:$F$89,4,0),"")</f>
        <v/>
      </c>
      <c r="J966" s="92" t="str">
        <f t="shared" si="8"/>
        <v/>
      </c>
      <c r="K966" s="92" t="str">
        <f t="shared" si="10"/>
        <v/>
      </c>
      <c r="L966" s="92" t="str">
        <f>IFERROR(VLOOKUP(D966,'Công T5'!$C$7:$F$89,2,0),"")</f>
        <v/>
      </c>
      <c r="M966" s="92" t="str">
        <f>IFERROR(VLOOKUP(D966,'Công T5'!$C$7:$F$89,3,0),"")</f>
        <v/>
      </c>
      <c r="N966" s="92" t="str">
        <f t="shared" si="9"/>
        <v/>
      </c>
      <c r="O966" s="92" t="str">
        <f t="shared" si="2"/>
        <v/>
      </c>
      <c r="P966" s="94">
        <f t="shared" si="3"/>
        <v>0</v>
      </c>
      <c r="Q966" s="94" t="str">
        <f t="shared" si="4"/>
        <v/>
      </c>
      <c r="R966" s="95">
        <f t="shared" si="5"/>
        <v>0</v>
      </c>
      <c r="S966" s="95">
        <f t="shared" si="6"/>
        <v>0</v>
      </c>
      <c r="T966" s="95" t="str">
        <f t="shared" si="7"/>
        <v/>
      </c>
    </row>
    <row r="967">
      <c r="A967" s="106"/>
      <c r="B967" s="107"/>
      <c r="C967" s="106"/>
      <c r="D967" s="108"/>
      <c r="E967" s="109"/>
      <c r="F967" s="110"/>
      <c r="G967" s="110"/>
      <c r="H967" s="111"/>
      <c r="I967" s="92" t="str">
        <f>IFERROR(VLOOKUP(D967,'Công T5'!$C$7:$F$89,4,0),"")</f>
        <v/>
      </c>
      <c r="J967" s="92" t="str">
        <f t="shared" si="8"/>
        <v/>
      </c>
      <c r="K967" s="92" t="str">
        <f t="shared" si="10"/>
        <v/>
      </c>
      <c r="L967" s="92" t="str">
        <f>IFERROR(VLOOKUP(D967,'Công T5'!$C$7:$F$89,2,0),"")</f>
        <v/>
      </c>
      <c r="M967" s="92" t="str">
        <f>IFERROR(VLOOKUP(D967,'Công T5'!$C$7:$F$89,3,0),"")</f>
        <v/>
      </c>
      <c r="N967" s="92" t="str">
        <f t="shared" si="9"/>
        <v/>
      </c>
      <c r="O967" s="92" t="str">
        <f t="shared" si="2"/>
        <v/>
      </c>
      <c r="P967" s="94">
        <f t="shared" si="3"/>
        <v>0</v>
      </c>
      <c r="Q967" s="94" t="str">
        <f t="shared" si="4"/>
        <v/>
      </c>
      <c r="R967" s="95">
        <f t="shared" si="5"/>
        <v>0</v>
      </c>
      <c r="S967" s="95">
        <f t="shared" si="6"/>
        <v>0</v>
      </c>
      <c r="T967" s="95" t="str">
        <f t="shared" si="7"/>
        <v/>
      </c>
    </row>
    <row r="968">
      <c r="A968" s="106"/>
      <c r="B968" s="107"/>
      <c r="C968" s="106"/>
      <c r="D968" s="108"/>
      <c r="E968" s="109"/>
      <c r="F968" s="110"/>
      <c r="G968" s="110"/>
      <c r="H968" s="111"/>
      <c r="I968" s="92" t="str">
        <f>IFERROR(VLOOKUP(D968,'Công T5'!$C$7:$F$89,4,0),"")</f>
        <v/>
      </c>
      <c r="J968" s="92" t="str">
        <f t="shared" si="8"/>
        <v/>
      </c>
      <c r="K968" s="92" t="str">
        <f t="shared" si="10"/>
        <v/>
      </c>
      <c r="L968" s="92" t="str">
        <f>IFERROR(VLOOKUP(D968,'Công T5'!$C$7:$F$89,2,0),"")</f>
        <v/>
      </c>
      <c r="M968" s="92" t="str">
        <f>IFERROR(VLOOKUP(D968,'Công T5'!$C$7:$F$89,3,0),"")</f>
        <v/>
      </c>
      <c r="N968" s="92" t="str">
        <f t="shared" si="9"/>
        <v/>
      </c>
      <c r="O968" s="92" t="str">
        <f t="shared" si="2"/>
        <v/>
      </c>
      <c r="P968" s="94">
        <f t="shared" si="3"/>
        <v>0</v>
      </c>
      <c r="Q968" s="94" t="str">
        <f t="shared" si="4"/>
        <v/>
      </c>
      <c r="R968" s="95">
        <f t="shared" si="5"/>
        <v>0</v>
      </c>
      <c r="S968" s="95">
        <f t="shared" si="6"/>
        <v>0</v>
      </c>
      <c r="T968" s="95" t="str">
        <f t="shared" si="7"/>
        <v/>
      </c>
    </row>
    <row r="969">
      <c r="A969" s="106"/>
      <c r="B969" s="107"/>
      <c r="C969" s="106"/>
      <c r="D969" s="108"/>
      <c r="E969" s="109"/>
      <c r="F969" s="110"/>
      <c r="G969" s="110"/>
      <c r="H969" s="111"/>
      <c r="I969" s="92" t="str">
        <f>IFERROR(VLOOKUP(D969,'Công T5'!$C$7:$F$89,4,0),"")</f>
        <v/>
      </c>
      <c r="J969" s="92" t="str">
        <f t="shared" si="8"/>
        <v/>
      </c>
      <c r="K969" s="92" t="str">
        <f t="shared" si="10"/>
        <v/>
      </c>
      <c r="L969" s="92" t="str">
        <f>IFERROR(VLOOKUP(D969,'Công T5'!$C$7:$F$89,2,0),"")</f>
        <v/>
      </c>
      <c r="M969" s="92" t="str">
        <f>IFERROR(VLOOKUP(D969,'Công T5'!$C$7:$F$89,3,0),"")</f>
        <v/>
      </c>
      <c r="N969" s="92" t="str">
        <f t="shared" si="9"/>
        <v/>
      </c>
      <c r="O969" s="92" t="str">
        <f t="shared" si="2"/>
        <v/>
      </c>
      <c r="P969" s="94">
        <f t="shared" si="3"/>
        <v>0</v>
      </c>
      <c r="Q969" s="94" t="str">
        <f t="shared" si="4"/>
        <v/>
      </c>
      <c r="R969" s="95">
        <f t="shared" si="5"/>
        <v>0</v>
      </c>
      <c r="S969" s="95">
        <f t="shared" si="6"/>
        <v>0</v>
      </c>
      <c r="T969" s="95" t="str">
        <f t="shared" si="7"/>
        <v/>
      </c>
    </row>
    <row r="970">
      <c r="A970" s="106"/>
      <c r="B970" s="107"/>
      <c r="C970" s="106"/>
      <c r="D970" s="108"/>
      <c r="E970" s="109"/>
      <c r="F970" s="110"/>
      <c r="G970" s="110"/>
      <c r="H970" s="111"/>
      <c r="I970" s="92" t="str">
        <f>IFERROR(VLOOKUP(D970,'Công T5'!$C$7:$F$89,4,0),"")</f>
        <v/>
      </c>
      <c r="J970" s="92" t="str">
        <f t="shared" si="8"/>
        <v/>
      </c>
      <c r="K970" s="92" t="str">
        <f t="shared" si="10"/>
        <v/>
      </c>
      <c r="L970" s="92" t="str">
        <f>IFERROR(VLOOKUP(D970,'Công T5'!$C$7:$F$89,2,0),"")</f>
        <v/>
      </c>
      <c r="M970" s="92" t="str">
        <f>IFERROR(VLOOKUP(D970,'Công T5'!$C$7:$F$89,3,0),"")</f>
        <v/>
      </c>
      <c r="N970" s="92" t="str">
        <f t="shared" si="9"/>
        <v/>
      </c>
      <c r="O970" s="92" t="str">
        <f t="shared" si="2"/>
        <v/>
      </c>
      <c r="P970" s="94">
        <f t="shared" si="3"/>
        <v>0</v>
      </c>
      <c r="Q970" s="94" t="str">
        <f t="shared" si="4"/>
        <v/>
      </c>
      <c r="R970" s="95">
        <f t="shared" si="5"/>
        <v>0</v>
      </c>
      <c r="S970" s="95">
        <f t="shared" si="6"/>
        <v>0</v>
      </c>
      <c r="T970" s="95" t="str">
        <f t="shared" si="7"/>
        <v/>
      </c>
    </row>
    <row r="971">
      <c r="A971" s="106"/>
      <c r="B971" s="107"/>
      <c r="C971" s="106"/>
      <c r="D971" s="108"/>
      <c r="E971" s="109"/>
      <c r="F971" s="110"/>
      <c r="G971" s="110"/>
      <c r="H971" s="111"/>
      <c r="I971" s="92" t="str">
        <f>IFERROR(VLOOKUP(D971,'Công T5'!$C$7:$F$89,4,0),"")</f>
        <v/>
      </c>
      <c r="J971" s="92" t="str">
        <f t="shared" si="8"/>
        <v/>
      </c>
      <c r="K971" s="92" t="str">
        <f t="shared" si="10"/>
        <v/>
      </c>
      <c r="L971" s="92" t="str">
        <f>IFERROR(VLOOKUP(D971,'Công T5'!$C$7:$F$89,2,0),"")</f>
        <v/>
      </c>
      <c r="M971" s="92" t="str">
        <f>IFERROR(VLOOKUP(D971,'Công T5'!$C$7:$F$89,3,0),"")</f>
        <v/>
      </c>
      <c r="N971" s="92" t="str">
        <f t="shared" si="9"/>
        <v/>
      </c>
      <c r="O971" s="92" t="str">
        <f t="shared" si="2"/>
        <v/>
      </c>
      <c r="P971" s="94">
        <f t="shared" si="3"/>
        <v>0</v>
      </c>
      <c r="Q971" s="94" t="str">
        <f t="shared" si="4"/>
        <v/>
      </c>
      <c r="R971" s="95">
        <f t="shared" si="5"/>
        <v>0</v>
      </c>
      <c r="S971" s="95">
        <f t="shared" si="6"/>
        <v>0</v>
      </c>
      <c r="T971" s="95" t="str">
        <f t="shared" si="7"/>
        <v/>
      </c>
    </row>
    <row r="972">
      <c r="A972" s="106"/>
      <c r="B972" s="107"/>
      <c r="C972" s="106"/>
      <c r="D972" s="108"/>
      <c r="E972" s="109"/>
      <c r="F972" s="110"/>
      <c r="G972" s="110"/>
      <c r="H972" s="111"/>
      <c r="I972" s="92" t="str">
        <f>IFERROR(VLOOKUP(D972,'Công T5'!$C$7:$F$89,4,0),"")</f>
        <v/>
      </c>
      <c r="J972" s="92" t="str">
        <f t="shared" si="8"/>
        <v/>
      </c>
      <c r="K972" s="92" t="str">
        <f t="shared" si="10"/>
        <v/>
      </c>
      <c r="L972" s="92" t="str">
        <f>IFERROR(VLOOKUP(D972,'Công T5'!$C$7:$F$89,2,0),"")</f>
        <v/>
      </c>
      <c r="M972" s="92" t="str">
        <f>IFERROR(VLOOKUP(D972,'Công T5'!$C$7:$F$89,3,0),"")</f>
        <v/>
      </c>
      <c r="N972" s="92" t="str">
        <f t="shared" si="9"/>
        <v/>
      </c>
      <c r="O972" s="92" t="str">
        <f t="shared" si="2"/>
        <v/>
      </c>
      <c r="P972" s="94">
        <f t="shared" si="3"/>
        <v>0</v>
      </c>
      <c r="Q972" s="94" t="str">
        <f t="shared" si="4"/>
        <v/>
      </c>
      <c r="R972" s="95">
        <f t="shared" si="5"/>
        <v>0</v>
      </c>
      <c r="S972" s="95">
        <f t="shared" si="6"/>
        <v>0</v>
      </c>
      <c r="T972" s="95" t="str">
        <f t="shared" si="7"/>
        <v/>
      </c>
    </row>
  </sheetData>
  <mergeCells count="8">
    <mergeCell ref="A1:T1"/>
    <mergeCell ref="A5:H5"/>
    <mergeCell ref="A269:H269"/>
    <mergeCell ref="A502:H502"/>
    <mergeCell ref="A651:H651"/>
    <mergeCell ref="A712:H712"/>
    <mergeCell ref="A756:H756"/>
    <mergeCell ref="A805:H80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75"/>
  <cols>
    <col customWidth="1" min="1" max="1" width="6.88"/>
    <col customWidth="1" min="2" max="2" width="17.5"/>
    <col customWidth="1" min="3" max="3" width="8.13"/>
    <col customWidth="1" min="4" max="4" width="12.13"/>
    <col customWidth="1" min="5" max="10" width="9.0"/>
    <col customWidth="1" hidden="1" min="11" max="12" width="9.0"/>
    <col customWidth="1" min="13" max="23" width="9.0"/>
    <col customWidth="1" hidden="1" min="24" max="24" width="9.0"/>
    <col customWidth="1" min="25" max="25" width="9.0"/>
  </cols>
  <sheetData>
    <row r="1" hidden="1">
      <c r="A1" s="112"/>
      <c r="B1" s="112"/>
      <c r="C1" s="112"/>
      <c r="D1" s="113"/>
      <c r="E1" s="114">
        <f>'Công T5'!B93</f>
        <v>44688</v>
      </c>
      <c r="F1" s="114">
        <f>'Công T5'!B94</f>
        <v>44702</v>
      </c>
      <c r="G1" s="114" t="str">
        <f>'Công T5'!B95</f>
        <v/>
      </c>
      <c r="H1" s="115"/>
      <c r="I1" s="116">
        <v>0.3333333333333333</v>
      </c>
      <c r="J1" s="116">
        <v>0.3541666666666667</v>
      </c>
      <c r="K1" s="116">
        <v>0.4375</v>
      </c>
      <c r="L1" s="116">
        <v>0.5</v>
      </c>
      <c r="M1" s="116">
        <v>0.5416666666666666</v>
      </c>
      <c r="N1" s="116">
        <v>0.7083333333333334</v>
      </c>
      <c r="O1" s="116">
        <v>0.9375</v>
      </c>
      <c r="P1" s="116">
        <v>0.9375</v>
      </c>
      <c r="Q1" s="116">
        <v>0.20833333333333334</v>
      </c>
      <c r="R1" s="116">
        <v>0.875</v>
      </c>
      <c r="S1" s="117">
        <v>0.4583333333333333</v>
      </c>
      <c r="T1" s="117">
        <v>0.5208333333333334</v>
      </c>
      <c r="U1" s="117">
        <v>0.7083333333333334</v>
      </c>
      <c r="V1" s="117">
        <v>0.8333333333333334</v>
      </c>
      <c r="W1" s="118"/>
      <c r="X1" s="119"/>
      <c r="Y1" s="119"/>
    </row>
    <row r="2" hidden="1">
      <c r="A2" s="112"/>
      <c r="B2" s="112"/>
      <c r="C2" s="112"/>
      <c r="D2" s="113"/>
      <c r="E2" s="112"/>
      <c r="F2" s="120"/>
      <c r="G2" s="121"/>
      <c r="H2" s="121"/>
      <c r="I2" s="122" t="s">
        <v>135</v>
      </c>
      <c r="J2" s="122" t="s">
        <v>136</v>
      </c>
      <c r="K2" s="122" t="s">
        <v>137</v>
      </c>
      <c r="L2" s="122" t="s">
        <v>138</v>
      </c>
      <c r="M2" s="123" t="s">
        <v>139</v>
      </c>
      <c r="N2" s="124" t="s">
        <v>140</v>
      </c>
      <c r="O2" s="124" t="s">
        <v>141</v>
      </c>
      <c r="P2" s="124" t="s">
        <v>141</v>
      </c>
      <c r="Q2" s="124" t="s">
        <v>170</v>
      </c>
      <c r="R2" s="124" t="s">
        <v>171</v>
      </c>
      <c r="S2" s="125" t="s">
        <v>172</v>
      </c>
      <c r="T2" s="125" t="s">
        <v>172</v>
      </c>
      <c r="U2" s="125" t="s">
        <v>173</v>
      </c>
      <c r="V2" s="125" t="s">
        <v>173</v>
      </c>
      <c r="W2" s="118"/>
      <c r="X2" s="119"/>
      <c r="Y2" s="119"/>
    </row>
    <row r="3">
      <c r="A3" s="126"/>
      <c r="B3" s="126"/>
      <c r="C3" s="126" t="s">
        <v>174</v>
      </c>
    </row>
    <row r="4">
      <c r="A4" s="112"/>
      <c r="B4" s="112"/>
      <c r="C4" s="112"/>
      <c r="D4" s="113"/>
      <c r="E4" s="112"/>
      <c r="F4" s="120"/>
      <c r="G4" s="120"/>
      <c r="H4" s="120"/>
      <c r="I4" s="120"/>
      <c r="J4" s="120"/>
      <c r="K4" s="120"/>
      <c r="L4" s="120"/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9"/>
      <c r="Y4" s="129"/>
    </row>
    <row r="5">
      <c r="A5" s="130" t="s">
        <v>22</v>
      </c>
      <c r="B5" s="130" t="s">
        <v>175</v>
      </c>
      <c r="C5" s="130" t="s">
        <v>4</v>
      </c>
      <c r="D5" s="131" t="s">
        <v>176</v>
      </c>
      <c r="E5" s="130" t="s">
        <v>148</v>
      </c>
      <c r="F5" s="130" t="s">
        <v>177</v>
      </c>
      <c r="G5" s="130" t="s">
        <v>146</v>
      </c>
      <c r="H5" s="130" t="s">
        <v>147</v>
      </c>
      <c r="I5" s="130" t="s">
        <v>153</v>
      </c>
      <c r="J5" s="130" t="s">
        <v>154</v>
      </c>
      <c r="K5" s="130" t="s">
        <v>155</v>
      </c>
      <c r="L5" s="130" t="s">
        <v>156</v>
      </c>
      <c r="M5" s="132" t="s">
        <v>157</v>
      </c>
      <c r="N5" s="133" t="s">
        <v>18</v>
      </c>
      <c r="O5" s="133" t="s">
        <v>19</v>
      </c>
      <c r="P5" s="133" t="s">
        <v>35</v>
      </c>
      <c r="Q5" s="133" t="s">
        <v>36</v>
      </c>
      <c r="R5" s="133" t="s">
        <v>178</v>
      </c>
      <c r="S5" s="133" t="s">
        <v>179</v>
      </c>
      <c r="T5" s="133" t="s">
        <v>180</v>
      </c>
      <c r="U5" s="133" t="s">
        <v>181</v>
      </c>
      <c r="V5" s="133" t="s">
        <v>182</v>
      </c>
      <c r="W5" s="133" t="s">
        <v>183</v>
      </c>
      <c r="X5" s="134" t="s">
        <v>184</v>
      </c>
      <c r="Y5" s="134" t="s">
        <v>17</v>
      </c>
    </row>
    <row r="6" hidden="1">
      <c r="A6" s="135">
        <v>0.0</v>
      </c>
      <c r="B6" s="135" t="s">
        <v>185</v>
      </c>
      <c r="C6" s="135" t="s">
        <v>56</v>
      </c>
      <c r="D6" s="136">
        <v>44690.0</v>
      </c>
      <c r="E6" s="135" t="str">
        <f>IFERROR(VLOOKUP(C6,'Công T5'!$C$7:$F$89,4,0),"")</f>
        <v>QS</v>
      </c>
      <c r="F6" s="137">
        <f>IFERROR(__xludf.DUMMYFUNCTION("INDEX(FILTER('Công T5'!$B$8:$C$89,'Công T5'!$C$8:$C$89=C6),1,1)"),10384.0)</f>
        <v>10384</v>
      </c>
      <c r="G6" s="138">
        <f>IFERROR(__xludf.DUMMYFUNCTION("IFERROR(INDEX(FILTER('Vân tay'!$A$5:$O330,'Vân tay'!$C$5:$C330=F6,'Vân tay'!$B$5:$B330=D6),1,10),"""")"),0.28402777777777777)</f>
        <v>0.2840277778</v>
      </c>
      <c r="H6" s="138">
        <f>IFERROR(__xludf.DUMMYFUNCTION("IFERROR(INDEX(FILTER('Vân tay'!$A$5:$O330,'Vân tay'!$C$5:$C330=F6,'Vân tay'!$B$5:$B330=D6),1,11),"""")"),0.775)</f>
        <v>0.775</v>
      </c>
      <c r="I6" s="138">
        <f>IFERROR(__xludf.DUMMYFUNCTION("IFERROR(INDEX(FILTER('Vân tay'!$A$5:$O330,'Vân tay'!$C$5:$C330=F6,'Vân tay'!$B$5:$B330=D6),1,14),"""")"),0.3333333333333333)</f>
        <v>0.3333333333</v>
      </c>
      <c r="J6" s="138">
        <f>IFERROR(__xludf.DUMMYFUNCTION("IFERROR(INDEX(FILTER('Vân tay'!$A$5:$O330,'Vân tay'!$C$5:$C330=F6,'Vân tay'!$B$5:$B330=D6),1,15),"""")"),0.7083333333333334)</f>
        <v>0.7083333333</v>
      </c>
      <c r="K6" s="139">
        <f t="shared" ref="K6:K7" si="1">if(B6="","",if(J6&lt;&gt;"",if(I6&lt;$L$1,if(J6&lt;$L$1,J6-I6,$L$1-I6),0),"")*24/8)</f>
        <v>0.5</v>
      </c>
      <c r="L6" s="139">
        <f t="shared" ref="L6:L7" si="2">if(I6="","",if(J6="","",if(J6&gt;$M$1,if(I6&lt;$M$1,J6-$M$1,J6-I6)*24/8,"")))</f>
        <v>0.5</v>
      </c>
      <c r="M6" s="139">
        <f>if(P6&lt;&gt;0,text(P6,"+0.0"),if(B6="","",if(J6="",0.5,if(E6="NL",1,(K6+L6)))))</f>
        <v>1</v>
      </c>
      <c r="N6" s="140">
        <f t="shared" ref="N6:N7" si="3">if(G6&lt;&gt;"",if(G6&gt;$I$1,1,0),"")</f>
        <v>0</v>
      </c>
      <c r="O6" s="140">
        <f>if(B6&lt;&gt;"",if(OR(J6="",M6=""),1,0),"")</f>
        <v>0</v>
      </c>
      <c r="P6" s="140">
        <f t="shared" ref="P6:P7" si="4">if(Y6="làm thêm ngày thường",X6,if(Y6="làm thêm T7, CN",M6,0))</f>
        <v>0</v>
      </c>
      <c r="Q6" s="140">
        <f>if(or(D6='Công T5'!$B$97,D6='Công T5'!$B$98,D6='Công T5'!$B$99,D6='Công T5'!$B$100,D6='Công T5'!$B$101),if(M6="CT",1,if(M6="C/2",0.5,M6)),0)</f>
        <v>0</v>
      </c>
      <c r="R6" s="140">
        <f t="shared" ref="R6:R7" si="5">if(and(or(WEEKDAY(D6,3)&lt;5,D6=$E$1,D6=$F$1,D6=$G$1),G6&lt;$Q$1,G6&lt;&gt;""),1,0)+if(and(or(WEEKDAY(D6,3)&lt;5,D6=$E$1,D6=$F$1,D6=$G$1),H6&gt;$R$1,H6&lt;&gt;""),1,0)</f>
        <v>0</v>
      </c>
      <c r="S6" s="141">
        <f t="shared" ref="S6:S7" si="6">if(and(WEEKDAY(D6,3)&gt;4,D6&lt;&gt;$E$1,D6&lt;&gt;$F$1,D6&lt;&gt;$G$1,G6&lt;$Q$1,G6&lt;&gt;""),1,0)+if(and(WEEKDAY(D6,3)&gt;4,D6&lt;&gt;$E$1,D6&lt;&gt;$F$1,D6&lt;&gt;$G$1,H6&gt;$R$1,H6&lt;&gt;""),1,0)</f>
        <v>0</v>
      </c>
      <c r="T6" s="140">
        <f t="shared" ref="T6:T7" si="7">if(and(E6="ĐT",H6&lt;&gt;"",H6&gt;$R$1),1,0)</f>
        <v>0</v>
      </c>
      <c r="U6" s="140"/>
      <c r="V6" s="140"/>
      <c r="W6" s="140">
        <f t="shared" ref="W6:W7" si="8">if(E6="LX",if(and(G6&lt;$S$1,H6&gt;$T$1,M6&lt;&gt;1,M6&lt;&gt;"CT"),1,""),"")+if(E6="LX",if(and(G6&lt;$U$1,H6&gt;$V$1),1,""),"")</f>
        <v>0</v>
      </c>
      <c r="X6" s="142">
        <f t="shared" ref="X6:X7" si="9">if(B6="","",(if($I$1-G6&gt;0,$I$1-G6,0)+if(H6-$N$1&gt;0,H6-$N$1,0))*24/8)</f>
        <v>0.3479166667</v>
      </c>
      <c r="Y6" s="143"/>
    </row>
    <row r="7">
      <c r="A7" s="135">
        <v>1.0</v>
      </c>
      <c r="B7" s="135" t="s">
        <v>186</v>
      </c>
      <c r="C7" s="135" t="s">
        <v>40</v>
      </c>
      <c r="D7" s="136">
        <v>44677.0</v>
      </c>
      <c r="E7" s="135" t="str">
        <f>IFERROR(VLOOKUP(C7,'Công T5'!$C$7:$F$89,4,0),"")</f>
        <v>BLĐ</v>
      </c>
      <c r="F7" s="137" t="str">
        <f>IFERROR(__xludf.DUMMYFUNCTION("INDEX(FILTER('Công T5'!$B$8:$C$89,'Công T5'!$C$8:$C$89=C7),1,1)"),"10001")</f>
        <v>10001</v>
      </c>
      <c r="G7" s="138" t="str">
        <f>IFERROR(__xludf.DUMMYFUNCTION("IFERROR(INDEX(FILTER('Vân tay'!$A$5:$O330,'Vân tay'!$C$5:$C330=F7,'Vân tay'!$B$5:$B330=D7),1,10),"""")"),"")</f>
        <v/>
      </c>
      <c r="H7" s="138" t="str">
        <f>IFERROR(__xludf.DUMMYFUNCTION("IFERROR(INDEX(FILTER('Vân tay'!$A$5:$O330,'Vân tay'!$C$5:$C330=F7,'Vân tay'!$B$5:$B330=D7),1,11),"""")"),"")</f>
        <v/>
      </c>
      <c r="I7" s="138" t="str">
        <f>IFERROR(__xludf.DUMMYFUNCTION("IFERROR(INDEX(FILTER('Vân tay'!$A$5:$O330,'Vân tay'!$C$5:$C330=F7,'Vân tay'!$B$5:$B330=D7),1,14),"""")"),"")</f>
        <v/>
      </c>
      <c r="J7" s="138" t="str">
        <f>IFERROR(__xludf.DUMMYFUNCTION("IFERROR(INDEX(FILTER('Vân tay'!$A$5:$O330,'Vân tay'!$C$5:$C330=F7,'Vân tay'!$B$5:$B330=D7),1,15),"""")"),"")</f>
        <v/>
      </c>
      <c r="K7" s="139">
        <f t="shared" si="1"/>
        <v>0</v>
      </c>
      <c r="L7" s="139" t="str">
        <f t="shared" si="2"/>
        <v/>
      </c>
      <c r="M7" s="139" t="s">
        <v>42</v>
      </c>
      <c r="N7" s="140" t="str">
        <f t="shared" si="3"/>
        <v/>
      </c>
      <c r="O7" s="140"/>
      <c r="P7" s="140">
        <f t="shared" si="4"/>
        <v>0</v>
      </c>
      <c r="Q7" s="140">
        <f>if(or(D7='Công T5'!$B$97,D7='Công T5'!$B$98,D7='Công T5'!$B$99,D7='Công T5'!$B$100,D7='Công T5'!$B$101),if(M7="CT",1,if(M7="C/2",0.5,M7)),0)</f>
        <v>0</v>
      </c>
      <c r="R7" s="140">
        <f t="shared" si="5"/>
        <v>0</v>
      </c>
      <c r="S7" s="141">
        <f t="shared" si="6"/>
        <v>0</v>
      </c>
      <c r="T7" s="140">
        <f t="shared" si="7"/>
        <v>0</v>
      </c>
      <c r="U7" s="140"/>
      <c r="V7" s="140"/>
      <c r="W7" s="140">
        <f t="shared" si="8"/>
        <v>0</v>
      </c>
      <c r="X7" s="142">
        <f t="shared" si="9"/>
        <v>1</v>
      </c>
      <c r="Y7" s="143"/>
    </row>
    <row r="8">
      <c r="A8" s="135">
        <v>1.0</v>
      </c>
      <c r="B8" s="135" t="s">
        <v>187</v>
      </c>
      <c r="C8" s="135" t="s">
        <v>40</v>
      </c>
      <c r="D8" s="136">
        <v>44681.0</v>
      </c>
      <c r="E8" s="135" t="str">
        <f>IFERROR(VLOOKUP(C8,'Công T5'!$C$7:$F$89,4,0),"")</f>
        <v>BLĐ</v>
      </c>
      <c r="F8" s="137" t="str">
        <f>IFERROR(__xludf.DUMMYFUNCTION("INDEX(FILTER('Công T5'!$B$8:$C$89,'Công T5'!$C$8:$C$89=C8),1,1)"),"10001")</f>
        <v>10001</v>
      </c>
      <c r="G8" s="138"/>
      <c r="H8" s="138"/>
      <c r="I8" s="138"/>
      <c r="J8" s="138"/>
      <c r="K8" s="139"/>
      <c r="L8" s="139"/>
      <c r="M8" s="139" t="s">
        <v>43</v>
      </c>
      <c r="N8" s="140"/>
      <c r="O8" s="140"/>
      <c r="P8" s="140"/>
      <c r="Q8" s="140"/>
      <c r="R8" s="140"/>
      <c r="S8" s="141"/>
      <c r="T8" s="140"/>
      <c r="U8" s="140"/>
      <c r="V8" s="140"/>
      <c r="W8" s="140"/>
      <c r="X8" s="142"/>
      <c r="Y8" s="143"/>
    </row>
    <row r="9">
      <c r="A9" s="135">
        <v>2.0</v>
      </c>
      <c r="B9" s="135" t="s">
        <v>187</v>
      </c>
      <c r="C9" s="135" t="s">
        <v>40</v>
      </c>
      <c r="D9" s="136">
        <v>44682.0</v>
      </c>
      <c r="E9" s="135" t="str">
        <f>IFERROR(VLOOKUP(C9,'Công T5'!$C$7:$F$89,4,0),"")</f>
        <v>BLĐ</v>
      </c>
      <c r="F9" s="137" t="str">
        <f>IFERROR(__xludf.DUMMYFUNCTION("INDEX(FILTER('Công T5'!$B$8:$C$89,'Công T5'!$C$8:$C$89=C9),1,1)"),"10001")</f>
        <v>10001</v>
      </c>
      <c r="G9" s="138"/>
      <c r="H9" s="138"/>
      <c r="I9" s="138"/>
      <c r="J9" s="138"/>
      <c r="K9" s="139"/>
      <c r="L9" s="139"/>
      <c r="M9" s="139" t="s">
        <v>43</v>
      </c>
      <c r="N9" s="140"/>
      <c r="O9" s="140"/>
      <c r="P9" s="140"/>
      <c r="Q9" s="140"/>
      <c r="R9" s="140"/>
      <c r="S9" s="141"/>
      <c r="T9" s="140"/>
      <c r="U9" s="140"/>
      <c r="V9" s="140"/>
      <c r="W9" s="140"/>
      <c r="X9" s="142"/>
      <c r="Y9" s="143"/>
    </row>
    <row r="10">
      <c r="A10" s="135">
        <v>3.0</v>
      </c>
      <c r="B10" s="135" t="s">
        <v>188</v>
      </c>
      <c r="C10" s="135" t="s">
        <v>40</v>
      </c>
      <c r="D10" s="136">
        <v>44693.0</v>
      </c>
      <c r="E10" s="135" t="str">
        <f>IFERROR(VLOOKUP(C10,'Công T5'!$C$7:$F$89,4,0),"")</f>
        <v>BLĐ</v>
      </c>
      <c r="F10" s="137" t="str">
        <f>IFERROR(__xludf.DUMMYFUNCTION("INDEX(FILTER('Công T5'!$B$8:$C$89,'Công T5'!$C$8:$C$89=C10),1,1)"),"10001")</f>
        <v>10001</v>
      </c>
      <c r="G10" s="138" t="str">
        <f>IFERROR(__xludf.DUMMYFUNCTION("IFERROR(INDEX(FILTER('Vân tay'!$A$5:$O330,'Vân tay'!$C$5:$C330=F10,'Vân tay'!$B$5:$B330=D10),1,10),"""")"),"")</f>
        <v/>
      </c>
      <c r="H10" s="138" t="str">
        <f>IFERROR(__xludf.DUMMYFUNCTION("IFERROR(INDEX(FILTER('Vân tay'!$A$5:$O330,'Vân tay'!$C$5:$C330=F10,'Vân tay'!$B$5:$B330=D10),1,11),"""")"),"")</f>
        <v/>
      </c>
      <c r="I10" s="138" t="str">
        <f>IFERROR(__xludf.DUMMYFUNCTION("IFERROR(INDEX(FILTER('Vân tay'!$A$5:$O330,'Vân tay'!$C$5:$C330=F10,'Vân tay'!$B$5:$B330=D10),1,14),"""")"),"")</f>
        <v/>
      </c>
      <c r="J10" s="138" t="str">
        <f>IFERROR(__xludf.DUMMYFUNCTION("IFERROR(INDEX(FILTER('Vân tay'!$A$5:$O330,'Vân tay'!$C$5:$C330=F10,'Vân tay'!$B$5:$B330=D10),1,15),"""")"),"")</f>
        <v/>
      </c>
      <c r="K10" s="139">
        <f t="shared" ref="K10:K14" si="10">if(B10="","",if(J10&lt;&gt;"",if(I10&lt;$L$1,if(J10&lt;$L$1,J10-I10,$L$1-I10),0),"")*24/8)</f>
        <v>0</v>
      </c>
      <c r="L10" s="139" t="str">
        <f t="shared" ref="L10:L14" si="11">if(I10="","",if(J10="","",if(J10&gt;$M$1,if(I10&lt;$M$1,J10-$M$1,J10-I10)*24/8,"")))</f>
        <v/>
      </c>
      <c r="M10" s="139" t="s">
        <v>42</v>
      </c>
      <c r="N10" s="140" t="str">
        <f t="shared" ref="N10:N14" si="12">if(G10&lt;&gt;"",if(G10&gt;$I$1,1,0),"")</f>
        <v/>
      </c>
      <c r="O10" s="140"/>
      <c r="P10" s="140">
        <f>if(Y10="làm thêm ngày thường",X10,if(Y10="làm thêm T7, CN",M10,0))</f>
        <v>0</v>
      </c>
      <c r="Q10" s="140">
        <f>if(or(D10='Công T5'!$B$97,D10='Công T5'!$B$98,D10='Công T5'!$B$99,D10='Công T5'!$B$100,D10='Công T5'!$B$101),if(M10="CT",1,if(M10="C/2",0.5,M10)),0)</f>
        <v>0</v>
      </c>
      <c r="R10" s="140">
        <f t="shared" ref="R10:R11" si="13">if(and(or(WEEKDAY(D10,3)&lt;5,D10=$E$1,D10=$F$1,D10=$G$1),G10&lt;$Q$1,G10&lt;&gt;""),1,0)+if(and(or(WEEKDAY(D10,3)&lt;5,D10=$E$1,D10=$F$1,D10=$G$1),H10&gt;$R$1,H10&lt;&gt;""),1,0)</f>
        <v>0</v>
      </c>
      <c r="S10" s="141">
        <f>if(and(WEEKDAY(D10,3)&gt;4,D10&lt;&gt;$E$1,D10&lt;&gt;$F$1,D10&lt;&gt;$G$1,G10&lt;$Q$1,G10&lt;&gt;""),1,0)+if(and(WEEKDAY(D10,3)&gt;4,D10&lt;&gt;$E$1,D10&lt;&gt;$F$1,D10&lt;&gt;$G$1,H10&gt;$R$1,H10&lt;&gt;""),1,0)</f>
        <v>0</v>
      </c>
      <c r="T10" s="140">
        <f t="shared" ref="T10:T14" si="14">if(and(E10="ĐT",H10&lt;&gt;"",H10&gt;$R$1),1,0)</f>
        <v>0</v>
      </c>
      <c r="U10" s="140"/>
      <c r="V10" s="140"/>
      <c r="W10" s="140">
        <f t="shared" ref="W10:W14" si="15">if(E10="LX",if(and(G10&lt;$S$1,H10&gt;$T$1,M10&lt;&gt;1,M10&lt;&gt;"CT"),1,""),"")+if(E10="LX",if(and(G10&lt;$U$1,H10&gt;$V$1),1,""),"")</f>
        <v>0</v>
      </c>
      <c r="X10" s="142">
        <f t="shared" ref="X10:X14" si="16">if(B10="","",(if($I$1-G10&gt;0,$I$1-G10,0)+if(H10-$N$1&gt;0,H10-$N$1,0))*24/8)</f>
        <v>1</v>
      </c>
      <c r="Y10" s="143"/>
    </row>
    <row r="11">
      <c r="A11" s="135">
        <v>4.0</v>
      </c>
      <c r="B11" s="135" t="s">
        <v>189</v>
      </c>
      <c r="C11" s="135" t="s">
        <v>40</v>
      </c>
      <c r="D11" s="136">
        <v>44695.0</v>
      </c>
      <c r="E11" s="135" t="str">
        <f>IFERROR(VLOOKUP(C11,'Công T5'!$C$7:$F$89,4,0),"")</f>
        <v>BLĐ</v>
      </c>
      <c r="F11" s="137" t="str">
        <f>IFERROR(__xludf.DUMMYFUNCTION("INDEX(FILTER('Công T5'!$B$8:$C$89,'Công T5'!$C$8:$C$89=C11),1,1)"),"10001")</f>
        <v>10001</v>
      </c>
      <c r="G11" s="138" t="str">
        <f>IFERROR(__xludf.DUMMYFUNCTION("IFERROR(INDEX(FILTER('Vân tay'!$A$5:$O330,'Vân tay'!$C$5:$C330=F11,'Vân tay'!$B$5:$B330=D11),1,10),"""")"),"")</f>
        <v/>
      </c>
      <c r="H11" s="138" t="str">
        <f>IFERROR(__xludf.DUMMYFUNCTION("IFERROR(INDEX(FILTER('Vân tay'!$A$5:$O330,'Vân tay'!$C$5:$C330=F11,'Vân tay'!$B$5:$B330=D11),1,11),"""")"),"")</f>
        <v/>
      </c>
      <c r="I11" s="138" t="str">
        <f>IFERROR(__xludf.DUMMYFUNCTION("IFERROR(INDEX(FILTER('Vân tay'!$A$5:$O330,'Vân tay'!$C$5:$C330=F11,'Vân tay'!$B$5:$B330=D11),1,14),"""")"),"")</f>
        <v/>
      </c>
      <c r="J11" s="138" t="str">
        <f>IFERROR(__xludf.DUMMYFUNCTION("IFERROR(INDEX(FILTER('Vân tay'!$A$5:$O330,'Vân tay'!$C$5:$C330=F11,'Vân tay'!$B$5:$B330=D11),1,15),"""")"),"")</f>
        <v/>
      </c>
      <c r="K11" s="139">
        <f t="shared" si="10"/>
        <v>0</v>
      </c>
      <c r="L11" s="139" t="str">
        <f t="shared" si="11"/>
        <v/>
      </c>
      <c r="M11" s="139">
        <v>1.0</v>
      </c>
      <c r="N11" s="140" t="str">
        <f t="shared" si="12"/>
        <v/>
      </c>
      <c r="O11" s="140"/>
      <c r="P11" s="139">
        <v>1.0</v>
      </c>
      <c r="Q11" s="140">
        <f>if(or(D11='Công T5'!$B$97,D11='Công T5'!$B$98,D11='Công T5'!$B$99,D11='Công T5'!$B$100,D11='Công T5'!$B$101),if(M11="CT",1,if(M11="C/2",0.5,M11)),0)</f>
        <v>0</v>
      </c>
      <c r="R11" s="140">
        <f t="shared" si="13"/>
        <v>0</v>
      </c>
      <c r="S11" s="144">
        <v>1.0</v>
      </c>
      <c r="T11" s="140">
        <f t="shared" si="14"/>
        <v>0</v>
      </c>
      <c r="U11" s="140"/>
      <c r="V11" s="140"/>
      <c r="W11" s="140">
        <f t="shared" si="15"/>
        <v>0</v>
      </c>
      <c r="X11" s="142">
        <f t="shared" si="16"/>
        <v>1</v>
      </c>
      <c r="Y11" s="143"/>
    </row>
    <row r="12">
      <c r="A12" s="135">
        <v>5.0</v>
      </c>
      <c r="B12" s="135" t="s">
        <v>189</v>
      </c>
      <c r="C12" s="135" t="s">
        <v>40</v>
      </c>
      <c r="D12" s="136">
        <v>44700.0</v>
      </c>
      <c r="E12" s="135" t="str">
        <f>IFERROR(VLOOKUP(C12,'Công T5'!$C$7:$F$89,4,0),"")</f>
        <v>BLĐ</v>
      </c>
      <c r="F12" s="137" t="str">
        <f>IFERROR(__xludf.DUMMYFUNCTION("INDEX(FILTER('Công T5'!$B$8:$C$89,'Công T5'!$C$8:$C$89=C12),1,1)"),"10001")</f>
        <v>10001</v>
      </c>
      <c r="G12" s="138" t="str">
        <f>IFERROR(__xludf.DUMMYFUNCTION("IFERROR(INDEX(FILTER('Vân tay'!$A$5:$O330,'Vân tay'!$C$5:$C330=F12,'Vân tay'!$B$5:$B330=D12),1,10),"""")"),"")</f>
        <v/>
      </c>
      <c r="H12" s="138" t="str">
        <f>IFERROR(__xludf.DUMMYFUNCTION("IFERROR(INDEX(FILTER('Vân tay'!$A$5:$O330,'Vân tay'!$C$5:$C330=F12,'Vân tay'!$B$5:$B330=D12),1,11),"""")"),"")</f>
        <v/>
      </c>
      <c r="I12" s="138" t="str">
        <f>IFERROR(__xludf.DUMMYFUNCTION("IFERROR(INDEX(FILTER('Vân tay'!$A$5:$O330,'Vân tay'!$C$5:$C330=F12,'Vân tay'!$B$5:$B330=D12),1,14),"""")"),"")</f>
        <v/>
      </c>
      <c r="J12" s="138" t="str">
        <f>IFERROR(__xludf.DUMMYFUNCTION("IFERROR(INDEX(FILTER('Vân tay'!$A$5:$O330,'Vân tay'!$C$5:$C330=F12,'Vân tay'!$B$5:$B330=D12),1,15),"""")"),"")</f>
        <v/>
      </c>
      <c r="K12" s="139">
        <f t="shared" si="10"/>
        <v>0</v>
      </c>
      <c r="L12" s="139" t="str">
        <f t="shared" si="11"/>
        <v/>
      </c>
      <c r="M12" s="139">
        <v>1.0</v>
      </c>
      <c r="N12" s="140" t="str">
        <f t="shared" si="12"/>
        <v/>
      </c>
      <c r="O12" s="140"/>
      <c r="P12" s="140">
        <f>if(Y12="làm thêm ngày thường",X12,if(Y12="làm thêm T7, CN",M12,0))</f>
        <v>0</v>
      </c>
      <c r="Q12" s="140">
        <f>if(or(D12='Công T5'!$B$97,D12='Công T5'!$B$98,D12='Công T5'!$B$99,D12='Công T5'!$B$100,D12='Công T5'!$B$101),if(M12="CT",1,if(M12="C/2",0.5,M12)),0)</f>
        <v>0</v>
      </c>
      <c r="R12" s="139">
        <v>1.0</v>
      </c>
      <c r="S12" s="144"/>
      <c r="T12" s="140">
        <f t="shared" si="14"/>
        <v>0</v>
      </c>
      <c r="U12" s="140"/>
      <c r="V12" s="140"/>
      <c r="W12" s="140">
        <f t="shared" si="15"/>
        <v>0</v>
      </c>
      <c r="X12" s="142">
        <f t="shared" si="16"/>
        <v>1</v>
      </c>
      <c r="Y12" s="143"/>
    </row>
    <row r="13">
      <c r="A13" s="135">
        <v>6.0</v>
      </c>
      <c r="B13" s="135" t="s">
        <v>190</v>
      </c>
      <c r="C13" s="135" t="s">
        <v>40</v>
      </c>
      <c r="D13" s="136">
        <v>44703.0</v>
      </c>
      <c r="E13" s="135" t="str">
        <f>IFERROR(VLOOKUP(C13,'Công T5'!$C$7:$F$89,4,0),"")</f>
        <v>BLĐ</v>
      </c>
      <c r="F13" s="137" t="str">
        <f>IFERROR(__xludf.DUMMYFUNCTION("INDEX(FILTER('Công T5'!$B$8:$C$89,'Công T5'!$C$8:$C$89=C13),1,1)"),"10001")</f>
        <v>10001</v>
      </c>
      <c r="G13" s="138" t="str">
        <f>IFERROR(__xludf.DUMMYFUNCTION("IFERROR(INDEX(FILTER('Vân tay'!$A$5:$O330,'Vân tay'!$C$5:$C330=F13,'Vân tay'!$B$5:$B330=D13),1,10),"""")"),"")</f>
        <v/>
      </c>
      <c r="H13" s="138" t="str">
        <f>IFERROR(__xludf.DUMMYFUNCTION("IFERROR(INDEX(FILTER('Vân tay'!$A$5:$O330,'Vân tay'!$C$5:$C330=F13,'Vân tay'!$B$5:$B330=D13),1,11),"""")"),"")</f>
        <v/>
      </c>
      <c r="I13" s="138" t="str">
        <f>IFERROR(__xludf.DUMMYFUNCTION("IFERROR(INDEX(FILTER('Vân tay'!$A$5:$O330,'Vân tay'!$C$5:$C330=F13,'Vân tay'!$B$5:$B330=D13),1,14),"""")"),"")</f>
        <v/>
      </c>
      <c r="J13" s="138" t="str">
        <f>IFERROR(__xludf.DUMMYFUNCTION("IFERROR(INDEX(FILTER('Vân tay'!$A$5:$O330,'Vân tay'!$C$5:$C330=F13,'Vân tay'!$B$5:$B330=D13),1,15),"""")"),"")</f>
        <v/>
      </c>
      <c r="K13" s="139">
        <f t="shared" si="10"/>
        <v>0</v>
      </c>
      <c r="L13" s="139" t="str">
        <f t="shared" si="11"/>
        <v/>
      </c>
      <c r="M13" s="139">
        <v>0.5</v>
      </c>
      <c r="N13" s="140" t="str">
        <f t="shared" si="12"/>
        <v/>
      </c>
      <c r="O13" s="140"/>
      <c r="P13" s="139">
        <v>0.5</v>
      </c>
      <c r="Q13" s="139"/>
      <c r="R13" s="140">
        <f>if(and(or(WEEKDAY(D13,3)&lt;5,D13=$E$1,D13=$F$1,D13=$G$1),G13&lt;$Q$1,G13&lt;&gt;""),1,0)+if(and(or(WEEKDAY(D13,3)&lt;5,D13=$E$1,D13=$F$1,D13=$G$1),H13&gt;$R$1,H13&lt;&gt;""),1,0)</f>
        <v>0</v>
      </c>
      <c r="S13" s="144"/>
      <c r="T13" s="140">
        <f t="shared" si="14"/>
        <v>0</v>
      </c>
      <c r="U13" s="140"/>
      <c r="V13" s="140"/>
      <c r="W13" s="140">
        <f t="shared" si="15"/>
        <v>0</v>
      </c>
      <c r="X13" s="142">
        <f t="shared" si="16"/>
        <v>1</v>
      </c>
      <c r="Y13" s="143"/>
    </row>
    <row r="14">
      <c r="A14" s="135">
        <v>7.0</v>
      </c>
      <c r="B14" s="135" t="s">
        <v>189</v>
      </c>
      <c r="C14" s="135" t="s">
        <v>40</v>
      </c>
      <c r="D14" s="136">
        <v>44704.0</v>
      </c>
      <c r="E14" s="135" t="str">
        <f>IFERROR(VLOOKUP(C14,'Công T5'!$C$7:$F$89,4,0),"")</f>
        <v>BLĐ</v>
      </c>
      <c r="F14" s="137" t="str">
        <f>IFERROR(__xludf.DUMMYFUNCTION("INDEX(FILTER('Công T5'!$B$8:$C$89,'Công T5'!$C$8:$C$89=C14),1,1)"),"10001")</f>
        <v>10001</v>
      </c>
      <c r="G14" s="138" t="str">
        <f>IFERROR(__xludf.DUMMYFUNCTION("IFERROR(INDEX(FILTER('Vân tay'!$A$5:$O330,'Vân tay'!$C$5:$C330=F14,'Vân tay'!$B$5:$B330=D14),1,10),"""")"),"")</f>
        <v/>
      </c>
      <c r="H14" s="138" t="str">
        <f>IFERROR(__xludf.DUMMYFUNCTION("IFERROR(INDEX(FILTER('Vân tay'!$A$5:$O330,'Vân tay'!$C$5:$C330=F14,'Vân tay'!$B$5:$B330=D14),1,11),"""")"),"")</f>
        <v/>
      </c>
      <c r="I14" s="138" t="str">
        <f>IFERROR(__xludf.DUMMYFUNCTION("IFERROR(INDEX(FILTER('Vân tay'!$A$5:$O330,'Vân tay'!$C$5:$C330=F14,'Vân tay'!$B$5:$B330=D14),1,14),"""")"),"")</f>
        <v/>
      </c>
      <c r="J14" s="138" t="str">
        <f>IFERROR(__xludf.DUMMYFUNCTION("IFERROR(INDEX(FILTER('Vân tay'!$A$5:$O330,'Vân tay'!$C$5:$C330=F14,'Vân tay'!$B$5:$B330=D14),1,15),"""")"),"")</f>
        <v/>
      </c>
      <c r="K14" s="139">
        <f t="shared" si="10"/>
        <v>0</v>
      </c>
      <c r="L14" s="139" t="str">
        <f t="shared" si="11"/>
        <v/>
      </c>
      <c r="M14" s="139">
        <v>1.0</v>
      </c>
      <c r="N14" s="140" t="str">
        <f t="shared" si="12"/>
        <v/>
      </c>
      <c r="O14" s="140"/>
      <c r="P14" s="140">
        <f>if(Y14="làm thêm ngày thường",X14,if(Y14="làm thêm T7, CN",M14,0))</f>
        <v>0</v>
      </c>
      <c r="Q14" s="140">
        <f>if(or(D14='Công T5'!$B$97,D14='Công T5'!$B$98,D14='Công T5'!$B$99,D14='Công T5'!$B$100,D14='Công T5'!$B$101),if(M14="CT",1,if(M14="C/2",0.5,M14)),0)</f>
        <v>0</v>
      </c>
      <c r="R14" s="139">
        <v>1.0</v>
      </c>
      <c r="S14" s="144"/>
      <c r="T14" s="140">
        <f t="shared" si="14"/>
        <v>0</v>
      </c>
      <c r="U14" s="140"/>
      <c r="V14" s="140"/>
      <c r="W14" s="140">
        <f t="shared" si="15"/>
        <v>0</v>
      </c>
      <c r="X14" s="142">
        <f t="shared" si="16"/>
        <v>1</v>
      </c>
      <c r="Y14" s="143"/>
    </row>
    <row r="15">
      <c r="A15" s="135">
        <v>8.0</v>
      </c>
      <c r="B15" s="135" t="s">
        <v>187</v>
      </c>
      <c r="C15" s="135" t="s">
        <v>44</v>
      </c>
      <c r="D15" s="136">
        <v>44681.0</v>
      </c>
      <c r="E15" s="135" t="str">
        <f>IFERROR(VLOOKUP(C15,'Công T5'!$C$7:$F$89,4,0),"")</f>
        <v>BLĐ</v>
      </c>
      <c r="F15" s="137">
        <f>IFERROR(__xludf.DUMMYFUNCTION("INDEX(FILTER('Công T5'!$B$8:$C$89,'Công T5'!$C$8:$C$89=C15),1,1)"),10002.0)</f>
        <v>10002</v>
      </c>
      <c r="G15" s="138"/>
      <c r="H15" s="138"/>
      <c r="I15" s="138"/>
      <c r="J15" s="138"/>
      <c r="K15" s="139"/>
      <c r="L15" s="139"/>
      <c r="M15" s="139" t="s">
        <v>43</v>
      </c>
      <c r="N15" s="140"/>
      <c r="O15" s="140"/>
      <c r="P15" s="140"/>
      <c r="Q15" s="140"/>
      <c r="R15" s="140"/>
      <c r="S15" s="141"/>
      <c r="T15" s="140"/>
      <c r="U15" s="140"/>
      <c r="V15" s="140"/>
      <c r="W15" s="140"/>
      <c r="X15" s="142"/>
      <c r="Y15" s="143"/>
    </row>
    <row r="16">
      <c r="A16" s="135">
        <v>9.0</v>
      </c>
      <c r="B16" s="135" t="s">
        <v>187</v>
      </c>
      <c r="C16" s="135" t="s">
        <v>44</v>
      </c>
      <c r="D16" s="136">
        <v>44682.0</v>
      </c>
      <c r="E16" s="135" t="str">
        <f>IFERROR(VLOOKUP(C16,'Công T5'!$C$7:$F$89,4,0),"")</f>
        <v>BLĐ</v>
      </c>
      <c r="F16" s="137">
        <f>IFERROR(__xludf.DUMMYFUNCTION("INDEX(FILTER('Công T5'!$B$8:$C$89,'Công T5'!$C$8:$C$89=C16),1,1)"),10002.0)</f>
        <v>10002</v>
      </c>
      <c r="G16" s="138"/>
      <c r="H16" s="138"/>
      <c r="I16" s="138"/>
      <c r="J16" s="138"/>
      <c r="K16" s="139"/>
      <c r="L16" s="139"/>
      <c r="M16" s="139" t="s">
        <v>43</v>
      </c>
      <c r="N16" s="140"/>
      <c r="O16" s="140"/>
      <c r="P16" s="140"/>
      <c r="Q16" s="140"/>
      <c r="R16" s="140"/>
      <c r="S16" s="141"/>
      <c r="T16" s="140"/>
      <c r="U16" s="140"/>
      <c r="V16" s="140"/>
      <c r="W16" s="140"/>
      <c r="X16" s="142"/>
      <c r="Y16" s="143"/>
    </row>
    <row r="17">
      <c r="A17" s="135">
        <v>10.0</v>
      </c>
      <c r="B17" s="135" t="s">
        <v>191</v>
      </c>
      <c r="C17" s="135" t="s">
        <v>44</v>
      </c>
      <c r="D17" s="136">
        <v>44696.0</v>
      </c>
      <c r="E17" s="135" t="str">
        <f>IFERROR(VLOOKUP(C17,'Công T5'!$C$7:$F$89,4,0),"")</f>
        <v>BLĐ</v>
      </c>
      <c r="F17" s="137">
        <f>IFERROR(__xludf.DUMMYFUNCTION("INDEX(FILTER('Công T5'!$B$8:$C$89,'Công T5'!$C$8:$C$89=C17),1,1)"),10002.0)</f>
        <v>10002</v>
      </c>
      <c r="G17" s="138" t="str">
        <f>IFERROR(__xludf.DUMMYFUNCTION("IFERROR(INDEX(FILTER('Vân tay'!$A$5:$O330,'Vân tay'!$C$5:$C330=F17,'Vân tay'!$B$5:$B330=D17),1,10),"""")"),"")</f>
        <v/>
      </c>
      <c r="H17" s="138" t="str">
        <f>IFERROR(__xludf.DUMMYFUNCTION("IFERROR(INDEX(FILTER('Vân tay'!$A$5:$O330,'Vân tay'!$C$5:$C330=F17,'Vân tay'!$B$5:$B330=D17),1,11),"""")"),"")</f>
        <v/>
      </c>
      <c r="I17" s="138" t="str">
        <f>IFERROR(__xludf.DUMMYFUNCTION("IFERROR(INDEX(FILTER('Vân tay'!$A$5:$O330,'Vân tay'!$C$5:$C330=F17,'Vân tay'!$B$5:$B330=D17),1,14),"""")"),"")</f>
        <v/>
      </c>
      <c r="J17" s="138" t="str">
        <f>IFERROR(__xludf.DUMMYFUNCTION("IFERROR(INDEX(FILTER('Vân tay'!$A$5:$O330,'Vân tay'!$C$5:$C330=F17,'Vân tay'!$B$5:$B330=D17),1,15),"""")"),"")</f>
        <v/>
      </c>
      <c r="K17" s="139">
        <f t="shared" ref="K17:K24" si="17">if(B17="","",if(J17&lt;&gt;"",if(I17&lt;$L$1,if(J17&lt;$L$1,J17-I17,$L$1-I17),0),"")*24/8)</f>
        <v>0</v>
      </c>
      <c r="L17" s="139" t="str">
        <f t="shared" ref="L17:L24" si="18">if(I17="","",if(J17="","",if(J17&gt;$M$1,if(I17&lt;$M$1,J17-$M$1,J17-I17)*24/8,"")))</f>
        <v/>
      </c>
      <c r="M17" s="139" t="s">
        <v>45</v>
      </c>
      <c r="N17" s="140" t="str">
        <f t="shared" ref="N17:N24" si="19">if(G17&lt;&gt;"",if(G17&gt;$I$1,1,0),"")</f>
        <v/>
      </c>
      <c r="O17" s="140"/>
      <c r="P17" s="139">
        <v>0.5</v>
      </c>
      <c r="Q17" s="140">
        <f>if(or(D17='Công T5'!$B$97,D17='Công T5'!$B$98,D17='Công T5'!$B$99,D17='Công T5'!$B$100,D17='Công T5'!$B$101),if(M17="CT",1,if(M17="C/2",0.5,M17)),0)</f>
        <v>0</v>
      </c>
      <c r="R17" s="140">
        <f t="shared" ref="R17:R24" si="20">if(and(or(WEEKDAY(D17,3)&lt;5,D17=$E$1,D17=$F$1,D17=$G$1),G17&lt;$Q$1,G17&lt;&gt;""),1,0)+if(and(or(WEEKDAY(D17,3)&lt;5,D17=$E$1,D17=$F$1,D17=$G$1),H17&gt;$R$1,H17&lt;&gt;""),1,0)</f>
        <v>0</v>
      </c>
      <c r="S17" s="141">
        <f t="shared" ref="S17:S24" si="21">if(and(WEEKDAY(D17,3)&gt;4,D17&lt;&gt;$E$1,D17&lt;&gt;$F$1,D17&lt;&gt;$G$1,G17&lt;$Q$1,G17&lt;&gt;""),1,0)+if(and(WEEKDAY(D17,3)&gt;4,D17&lt;&gt;$E$1,D17&lt;&gt;$F$1,D17&lt;&gt;$G$1,H17&gt;$R$1,H17&lt;&gt;""),1,0)</f>
        <v>0</v>
      </c>
      <c r="T17" s="140">
        <f t="shared" ref="T17:T24" si="22">if(and(E17="ĐT",H17&lt;&gt;"",H17&gt;$R$1),1,0)</f>
        <v>0</v>
      </c>
      <c r="U17" s="140"/>
      <c r="V17" s="140"/>
      <c r="W17" s="140">
        <f t="shared" ref="W17:W24" si="23">if(E17="LX",if(and(G17&lt;$S$1,H17&gt;$T$1,M17&lt;&gt;1,M17&lt;&gt;"CT"),1,""),"")+if(E17="LX",if(and(G17&lt;$U$1,H17&gt;$V$1),1,""),"")</f>
        <v>0</v>
      </c>
      <c r="X17" s="142">
        <f t="shared" ref="X17:X24" si="24">if(B17="","",(if($I$1-G17&gt;0,$I$1-G17,0)+if(H17-$N$1&gt;0,H17-$N$1,0))*24/8)</f>
        <v>1</v>
      </c>
      <c r="Y17" s="143"/>
    </row>
    <row r="18">
      <c r="A18" s="135">
        <v>11.0</v>
      </c>
      <c r="B18" s="135" t="s">
        <v>191</v>
      </c>
      <c r="C18" s="135" t="s">
        <v>44</v>
      </c>
      <c r="D18" s="136">
        <v>44697.0</v>
      </c>
      <c r="E18" s="135" t="str">
        <f>IFERROR(VLOOKUP(C18,'Công T5'!$C$7:$F$89,4,0),"")</f>
        <v>BLĐ</v>
      </c>
      <c r="F18" s="137">
        <f>IFERROR(__xludf.DUMMYFUNCTION("INDEX(FILTER('Công T5'!$B$8:$C$89,'Công T5'!$C$8:$C$89=C18),1,1)"),10002.0)</f>
        <v>10002</v>
      </c>
      <c r="G18" s="138" t="str">
        <f>IFERROR(__xludf.DUMMYFUNCTION("IFERROR(INDEX(FILTER('Vân tay'!$A$5:$O330,'Vân tay'!$C$5:$C330=F18,'Vân tay'!$B$5:$B330=D18),1,10),"""")"),"")</f>
        <v/>
      </c>
      <c r="H18" s="138" t="str">
        <f>IFERROR(__xludf.DUMMYFUNCTION("IFERROR(INDEX(FILTER('Vân tay'!$A$5:$O330,'Vân tay'!$C$5:$C330=F18,'Vân tay'!$B$5:$B330=D18),1,11),"""")"),"")</f>
        <v/>
      </c>
      <c r="I18" s="138" t="str">
        <f>IFERROR(__xludf.DUMMYFUNCTION("IFERROR(INDEX(FILTER('Vân tay'!$A$5:$O330,'Vân tay'!$C$5:$C330=F18,'Vân tay'!$B$5:$B330=D18),1,14),"""")"),"")</f>
        <v/>
      </c>
      <c r="J18" s="138" t="str">
        <f>IFERROR(__xludf.DUMMYFUNCTION("IFERROR(INDEX(FILTER('Vân tay'!$A$5:$O330,'Vân tay'!$C$5:$C330=F18,'Vân tay'!$B$5:$B330=D18),1,15),"""")"),"")</f>
        <v/>
      </c>
      <c r="K18" s="139">
        <f t="shared" si="17"/>
        <v>0</v>
      </c>
      <c r="L18" s="139" t="str">
        <f t="shared" si="18"/>
        <v/>
      </c>
      <c r="M18" s="139" t="s">
        <v>42</v>
      </c>
      <c r="N18" s="140" t="str">
        <f t="shared" si="19"/>
        <v/>
      </c>
      <c r="O18" s="140"/>
      <c r="P18" s="140">
        <f t="shared" ref="P18:P23" si="25">if(Y18="làm thêm ngày thường",X18,if(Y18="làm thêm T7, CN",M18,0))</f>
        <v>0</v>
      </c>
      <c r="Q18" s="140">
        <f>if(or(D18='Công T5'!$B$97,D18='Công T5'!$B$98,D18='Công T5'!$B$99,D18='Công T5'!$B$100,D18='Công T5'!$B$101),if(M18="CT",1,if(M18="C/2",0.5,M18)),0)</f>
        <v>0</v>
      </c>
      <c r="R18" s="140">
        <f t="shared" si="20"/>
        <v>0</v>
      </c>
      <c r="S18" s="141">
        <f t="shared" si="21"/>
        <v>0</v>
      </c>
      <c r="T18" s="140">
        <f t="shared" si="22"/>
        <v>0</v>
      </c>
      <c r="U18" s="140"/>
      <c r="V18" s="140"/>
      <c r="W18" s="140">
        <f t="shared" si="23"/>
        <v>0</v>
      </c>
      <c r="X18" s="142">
        <f t="shared" si="24"/>
        <v>1</v>
      </c>
      <c r="Y18" s="143"/>
    </row>
    <row r="19">
      <c r="A19" s="135">
        <v>12.0</v>
      </c>
      <c r="B19" s="135" t="s">
        <v>191</v>
      </c>
      <c r="C19" s="135" t="s">
        <v>44</v>
      </c>
      <c r="D19" s="136">
        <v>44698.0</v>
      </c>
      <c r="E19" s="135" t="str">
        <f>IFERROR(VLOOKUP(C19,'Công T5'!$C$7:$F$89,4,0),"")</f>
        <v>BLĐ</v>
      </c>
      <c r="F19" s="137">
        <f>IFERROR(__xludf.DUMMYFUNCTION("INDEX(FILTER('Công T5'!$B$8:$C$89,'Công T5'!$C$8:$C$89=C19),1,1)"),10002.0)</f>
        <v>10002</v>
      </c>
      <c r="G19" s="138" t="str">
        <f>IFERROR(__xludf.DUMMYFUNCTION("IFERROR(INDEX(FILTER('Vân tay'!$A$5:$O330,'Vân tay'!$C$5:$C330=F19,'Vân tay'!$B$5:$B330=D19),1,10),"""")"),"")</f>
        <v/>
      </c>
      <c r="H19" s="138" t="str">
        <f>IFERROR(__xludf.DUMMYFUNCTION("IFERROR(INDEX(FILTER('Vân tay'!$A$5:$O330,'Vân tay'!$C$5:$C330=F19,'Vân tay'!$B$5:$B330=D19),1,11),"""")"),"")</f>
        <v/>
      </c>
      <c r="I19" s="138" t="str">
        <f>IFERROR(__xludf.DUMMYFUNCTION("IFERROR(INDEX(FILTER('Vân tay'!$A$5:$O330,'Vân tay'!$C$5:$C330=F19,'Vân tay'!$B$5:$B330=D19),1,14),"""")"),"")</f>
        <v/>
      </c>
      <c r="J19" s="138" t="str">
        <f>IFERROR(__xludf.DUMMYFUNCTION("IFERROR(INDEX(FILTER('Vân tay'!$A$5:$O330,'Vân tay'!$C$5:$C330=F19,'Vân tay'!$B$5:$B330=D19),1,15),"""")"),"")</f>
        <v/>
      </c>
      <c r="K19" s="139">
        <f t="shared" si="17"/>
        <v>0</v>
      </c>
      <c r="L19" s="139" t="str">
        <f t="shared" si="18"/>
        <v/>
      </c>
      <c r="M19" s="139" t="s">
        <v>42</v>
      </c>
      <c r="N19" s="140" t="str">
        <f t="shared" si="19"/>
        <v/>
      </c>
      <c r="O19" s="140"/>
      <c r="P19" s="140">
        <f t="shared" si="25"/>
        <v>0</v>
      </c>
      <c r="Q19" s="140">
        <f>if(or(D19='Công T5'!$B$97,D19='Công T5'!$B$98,D19='Công T5'!$B$99,D19='Công T5'!$B$100,D19='Công T5'!$B$101),if(M19="CT",1,if(M19="C/2",0.5,M19)),0)</f>
        <v>0</v>
      </c>
      <c r="R19" s="140">
        <f t="shared" si="20"/>
        <v>0</v>
      </c>
      <c r="S19" s="141">
        <f t="shared" si="21"/>
        <v>0</v>
      </c>
      <c r="T19" s="140">
        <f t="shared" si="22"/>
        <v>0</v>
      </c>
      <c r="U19" s="140"/>
      <c r="V19" s="140"/>
      <c r="W19" s="140">
        <f t="shared" si="23"/>
        <v>0</v>
      </c>
      <c r="X19" s="142">
        <f t="shared" si="24"/>
        <v>1</v>
      </c>
      <c r="Y19" s="143"/>
    </row>
    <row r="20">
      <c r="A20" s="135">
        <v>13.0</v>
      </c>
      <c r="B20" s="135" t="s">
        <v>191</v>
      </c>
      <c r="C20" s="135" t="s">
        <v>44</v>
      </c>
      <c r="D20" s="136">
        <v>44699.0</v>
      </c>
      <c r="E20" s="135" t="str">
        <f>IFERROR(VLOOKUP(C20,'Công T5'!$C$7:$F$89,4,0),"")</f>
        <v>BLĐ</v>
      </c>
      <c r="F20" s="137">
        <f>IFERROR(__xludf.DUMMYFUNCTION("INDEX(FILTER('Công T5'!$B$8:$C$89,'Công T5'!$C$8:$C$89=C20),1,1)"),10002.0)</f>
        <v>10002</v>
      </c>
      <c r="G20" s="138" t="str">
        <f>IFERROR(__xludf.DUMMYFUNCTION("IFERROR(INDEX(FILTER('Vân tay'!$A$5:$O330,'Vân tay'!$C$5:$C330=F20,'Vân tay'!$B$5:$B330=D20),1,10),"""")"),"")</f>
        <v/>
      </c>
      <c r="H20" s="138" t="str">
        <f>IFERROR(__xludf.DUMMYFUNCTION("IFERROR(INDEX(FILTER('Vân tay'!$A$5:$O330,'Vân tay'!$C$5:$C330=F20,'Vân tay'!$B$5:$B330=D20),1,11),"""")"),"")</f>
        <v/>
      </c>
      <c r="I20" s="138" t="str">
        <f>IFERROR(__xludf.DUMMYFUNCTION("IFERROR(INDEX(FILTER('Vân tay'!$A$5:$O330,'Vân tay'!$C$5:$C330=F20,'Vân tay'!$B$5:$B330=D20),1,14),"""")"),"")</f>
        <v/>
      </c>
      <c r="J20" s="138" t="str">
        <f>IFERROR(__xludf.DUMMYFUNCTION("IFERROR(INDEX(FILTER('Vân tay'!$A$5:$O330,'Vân tay'!$C$5:$C330=F20,'Vân tay'!$B$5:$B330=D20),1,15),"""")"),"")</f>
        <v/>
      </c>
      <c r="K20" s="139">
        <f t="shared" si="17"/>
        <v>0</v>
      </c>
      <c r="L20" s="139" t="str">
        <f t="shared" si="18"/>
        <v/>
      </c>
      <c r="M20" s="139" t="s">
        <v>42</v>
      </c>
      <c r="N20" s="140" t="str">
        <f t="shared" si="19"/>
        <v/>
      </c>
      <c r="O20" s="140"/>
      <c r="P20" s="140">
        <f t="shared" si="25"/>
        <v>0</v>
      </c>
      <c r="Q20" s="140">
        <f>if(or(D20='Công T5'!$B$97,D20='Công T5'!$B$98,D20='Công T5'!$B$99,D20='Công T5'!$B$100,D20='Công T5'!$B$101),if(M20="CT",1,if(M20="C/2",0.5,M20)),0)</f>
        <v>0</v>
      </c>
      <c r="R20" s="140">
        <f t="shared" si="20"/>
        <v>0</v>
      </c>
      <c r="S20" s="141">
        <f t="shared" si="21"/>
        <v>0</v>
      </c>
      <c r="T20" s="140">
        <f t="shared" si="22"/>
        <v>0</v>
      </c>
      <c r="U20" s="140"/>
      <c r="V20" s="140"/>
      <c r="W20" s="140">
        <f t="shared" si="23"/>
        <v>0</v>
      </c>
      <c r="X20" s="142">
        <f t="shared" si="24"/>
        <v>1</v>
      </c>
      <c r="Y20" s="143"/>
    </row>
    <row r="21">
      <c r="A21" s="135">
        <v>14.0</v>
      </c>
      <c r="B21" s="135" t="s">
        <v>191</v>
      </c>
      <c r="C21" s="135" t="s">
        <v>44</v>
      </c>
      <c r="D21" s="136">
        <v>44700.0</v>
      </c>
      <c r="E21" s="135" t="str">
        <f>IFERROR(VLOOKUP(C21,'Công T5'!$C$7:$F$89,4,0),"")</f>
        <v>BLĐ</v>
      </c>
      <c r="F21" s="137">
        <f>IFERROR(__xludf.DUMMYFUNCTION("INDEX(FILTER('Công T5'!$B$8:$C$89,'Công T5'!$C$8:$C$89=C21),1,1)"),10002.0)</f>
        <v>10002</v>
      </c>
      <c r="G21" s="138" t="str">
        <f>IFERROR(__xludf.DUMMYFUNCTION("IFERROR(INDEX(FILTER('Vân tay'!$A$5:$O330,'Vân tay'!$C$5:$C330=F21,'Vân tay'!$B$5:$B330=D21),1,10),"""")"),"")</f>
        <v/>
      </c>
      <c r="H21" s="138" t="str">
        <f>IFERROR(__xludf.DUMMYFUNCTION("IFERROR(INDEX(FILTER('Vân tay'!$A$5:$O330,'Vân tay'!$C$5:$C330=F21,'Vân tay'!$B$5:$B330=D21),1,11),"""")"),"")</f>
        <v/>
      </c>
      <c r="I21" s="138" t="str">
        <f>IFERROR(__xludf.DUMMYFUNCTION("IFERROR(INDEX(FILTER('Vân tay'!$A$5:$O330,'Vân tay'!$C$5:$C330=F21,'Vân tay'!$B$5:$B330=D21),1,14),"""")"),"")</f>
        <v/>
      </c>
      <c r="J21" s="138" t="str">
        <f>IFERROR(__xludf.DUMMYFUNCTION("IFERROR(INDEX(FILTER('Vân tay'!$A$5:$O330,'Vân tay'!$C$5:$C330=F21,'Vân tay'!$B$5:$B330=D21),1,15),"""")"),"")</f>
        <v/>
      </c>
      <c r="K21" s="139">
        <f t="shared" si="17"/>
        <v>0</v>
      </c>
      <c r="L21" s="139" t="str">
        <f t="shared" si="18"/>
        <v/>
      </c>
      <c r="M21" s="139" t="s">
        <v>42</v>
      </c>
      <c r="N21" s="140" t="str">
        <f t="shared" si="19"/>
        <v/>
      </c>
      <c r="O21" s="140"/>
      <c r="P21" s="140">
        <f t="shared" si="25"/>
        <v>0</v>
      </c>
      <c r="Q21" s="140">
        <f>if(or(D21='Công T5'!$B$97,D21='Công T5'!$B$98,D21='Công T5'!$B$99,D21='Công T5'!$B$100,D21='Công T5'!$B$101),if(M21="CT",1,if(M21="C/2",0.5,M21)),0)</f>
        <v>0</v>
      </c>
      <c r="R21" s="140">
        <f t="shared" si="20"/>
        <v>0</v>
      </c>
      <c r="S21" s="141">
        <f t="shared" si="21"/>
        <v>0</v>
      </c>
      <c r="T21" s="140">
        <f t="shared" si="22"/>
        <v>0</v>
      </c>
      <c r="U21" s="140"/>
      <c r="V21" s="140"/>
      <c r="W21" s="140">
        <f t="shared" si="23"/>
        <v>0</v>
      </c>
      <c r="X21" s="142">
        <f t="shared" si="24"/>
        <v>1</v>
      </c>
      <c r="Y21" s="143"/>
    </row>
    <row r="22">
      <c r="A22" s="135">
        <v>15.0</v>
      </c>
      <c r="B22" s="135" t="s">
        <v>191</v>
      </c>
      <c r="C22" s="135" t="s">
        <v>44</v>
      </c>
      <c r="D22" s="136">
        <v>44701.0</v>
      </c>
      <c r="E22" s="135" t="str">
        <f>IFERROR(VLOOKUP(C22,'Công T5'!$C$7:$F$89,4,0),"")</f>
        <v>BLĐ</v>
      </c>
      <c r="F22" s="137">
        <f>IFERROR(__xludf.DUMMYFUNCTION("INDEX(FILTER('Công T5'!$B$8:$C$89,'Công T5'!$C$8:$C$89=C22),1,1)"),10002.0)</f>
        <v>10002</v>
      </c>
      <c r="G22" s="138" t="str">
        <f>IFERROR(__xludf.DUMMYFUNCTION("IFERROR(INDEX(FILTER('Vân tay'!$A$5:$O330,'Vân tay'!$C$5:$C330=F22,'Vân tay'!$B$5:$B330=D22),1,10),"""")"),"")</f>
        <v/>
      </c>
      <c r="H22" s="138" t="str">
        <f>IFERROR(__xludf.DUMMYFUNCTION("IFERROR(INDEX(FILTER('Vân tay'!$A$5:$O330,'Vân tay'!$C$5:$C330=F22,'Vân tay'!$B$5:$B330=D22),1,11),"""")"),"")</f>
        <v/>
      </c>
      <c r="I22" s="138" t="str">
        <f>IFERROR(__xludf.DUMMYFUNCTION("IFERROR(INDEX(FILTER('Vân tay'!$A$5:$O330,'Vân tay'!$C$5:$C330=F22,'Vân tay'!$B$5:$B330=D22),1,14),"""")"),"")</f>
        <v/>
      </c>
      <c r="J22" s="138" t="str">
        <f>IFERROR(__xludf.DUMMYFUNCTION("IFERROR(INDEX(FILTER('Vân tay'!$A$5:$O330,'Vân tay'!$C$5:$C330=F22,'Vân tay'!$B$5:$B330=D22),1,15),"""")"),"")</f>
        <v/>
      </c>
      <c r="K22" s="139">
        <f t="shared" si="17"/>
        <v>0</v>
      </c>
      <c r="L22" s="139" t="str">
        <f t="shared" si="18"/>
        <v/>
      </c>
      <c r="M22" s="139" t="s">
        <v>42</v>
      </c>
      <c r="N22" s="140" t="str">
        <f t="shared" si="19"/>
        <v/>
      </c>
      <c r="O22" s="140"/>
      <c r="P22" s="140">
        <f t="shared" si="25"/>
        <v>0</v>
      </c>
      <c r="Q22" s="140">
        <f>if(or(D22='Công T5'!$B$97,D22='Công T5'!$B$98,D22='Công T5'!$B$99,D22='Công T5'!$B$100,D22='Công T5'!$B$101),if(M22="CT",1,if(M22="C/2",0.5,M22)),0)</f>
        <v>0</v>
      </c>
      <c r="R22" s="140">
        <f t="shared" si="20"/>
        <v>0</v>
      </c>
      <c r="S22" s="141">
        <f t="shared" si="21"/>
        <v>0</v>
      </c>
      <c r="T22" s="140">
        <f t="shared" si="22"/>
        <v>0</v>
      </c>
      <c r="U22" s="140"/>
      <c r="V22" s="140"/>
      <c r="W22" s="140">
        <f t="shared" si="23"/>
        <v>0</v>
      </c>
      <c r="X22" s="142">
        <f t="shared" si="24"/>
        <v>1</v>
      </c>
      <c r="Y22" s="143"/>
    </row>
    <row r="23">
      <c r="A23" s="135">
        <v>16.0</v>
      </c>
      <c r="B23" s="135" t="s">
        <v>191</v>
      </c>
      <c r="C23" s="135" t="s">
        <v>44</v>
      </c>
      <c r="D23" s="136">
        <v>44702.0</v>
      </c>
      <c r="E23" s="135" t="str">
        <f>IFERROR(VLOOKUP(C23,'Công T5'!$C$7:$F$89,4,0),"")</f>
        <v>BLĐ</v>
      </c>
      <c r="F23" s="137">
        <f>IFERROR(__xludf.DUMMYFUNCTION("INDEX(FILTER('Công T5'!$B$8:$C$89,'Công T5'!$C$8:$C$89=C23),1,1)"),10002.0)</f>
        <v>10002</v>
      </c>
      <c r="G23" s="138" t="str">
        <f>IFERROR(__xludf.DUMMYFUNCTION("IFERROR(INDEX(FILTER('Vân tay'!$A$5:$O330,'Vân tay'!$C$5:$C330=F23,'Vân tay'!$B$5:$B330=D23),1,10),"""")"),"")</f>
        <v/>
      </c>
      <c r="H23" s="138" t="str">
        <f>IFERROR(__xludf.DUMMYFUNCTION("IFERROR(INDEX(FILTER('Vân tay'!$A$5:$O330,'Vân tay'!$C$5:$C330=F23,'Vân tay'!$B$5:$B330=D23),1,11),"""")"),"")</f>
        <v/>
      </c>
      <c r="I23" s="138" t="str">
        <f>IFERROR(__xludf.DUMMYFUNCTION("IFERROR(INDEX(FILTER('Vân tay'!$A$5:$O330,'Vân tay'!$C$5:$C330=F23,'Vân tay'!$B$5:$B330=D23),1,14),"""")"),"")</f>
        <v/>
      </c>
      <c r="J23" s="138" t="str">
        <f>IFERROR(__xludf.DUMMYFUNCTION("IFERROR(INDEX(FILTER('Vân tay'!$A$5:$O330,'Vân tay'!$C$5:$C330=F23,'Vân tay'!$B$5:$B330=D23),1,15),"""")"),"")</f>
        <v/>
      </c>
      <c r="K23" s="139">
        <f t="shared" si="17"/>
        <v>0</v>
      </c>
      <c r="L23" s="139" t="str">
        <f t="shared" si="18"/>
        <v/>
      </c>
      <c r="M23" s="139" t="s">
        <v>42</v>
      </c>
      <c r="N23" s="140" t="str">
        <f t="shared" si="19"/>
        <v/>
      </c>
      <c r="O23" s="140"/>
      <c r="P23" s="140">
        <f t="shared" si="25"/>
        <v>0</v>
      </c>
      <c r="Q23" s="140">
        <f>if(or(D23='Công T5'!$B$97,D23='Công T5'!$B$98,D23='Công T5'!$B$99,D23='Công T5'!$B$100,D23='Công T5'!$B$101),if(M23="CT",1,if(M23="C/2",0.5,M23)),0)</f>
        <v>0</v>
      </c>
      <c r="R23" s="140">
        <f t="shared" si="20"/>
        <v>0</v>
      </c>
      <c r="S23" s="141">
        <f t="shared" si="21"/>
        <v>0</v>
      </c>
      <c r="T23" s="140">
        <f t="shared" si="22"/>
        <v>0</v>
      </c>
      <c r="U23" s="140"/>
      <c r="V23" s="140"/>
      <c r="W23" s="140">
        <f t="shared" si="23"/>
        <v>0</v>
      </c>
      <c r="X23" s="142">
        <f t="shared" si="24"/>
        <v>1</v>
      </c>
      <c r="Y23" s="143"/>
    </row>
    <row r="24">
      <c r="A24" s="135">
        <v>17.0</v>
      </c>
      <c r="B24" s="135" t="s">
        <v>191</v>
      </c>
      <c r="C24" s="135" t="s">
        <v>44</v>
      </c>
      <c r="D24" s="136">
        <v>44703.0</v>
      </c>
      <c r="E24" s="135" t="str">
        <f>IFERROR(VLOOKUP(C24,'Công T5'!$C$7:$F$89,4,0),"")</f>
        <v>BLĐ</v>
      </c>
      <c r="F24" s="137">
        <f>IFERROR(__xludf.DUMMYFUNCTION("INDEX(FILTER('Công T5'!$B$8:$C$89,'Công T5'!$C$8:$C$89=C24),1,1)"),10002.0)</f>
        <v>10002</v>
      </c>
      <c r="G24" s="138" t="str">
        <f>IFERROR(__xludf.DUMMYFUNCTION("IFERROR(INDEX(FILTER('Vân tay'!$A$5:$O330,'Vân tay'!$C$5:$C330=F24,'Vân tay'!$B$5:$B330=D24),1,10),"""")"),"")</f>
        <v/>
      </c>
      <c r="H24" s="138" t="str">
        <f>IFERROR(__xludf.DUMMYFUNCTION("IFERROR(INDEX(FILTER('Vân tay'!$A$5:$O330,'Vân tay'!$C$5:$C330=F24,'Vân tay'!$B$5:$B330=D24),1,11),"""")"),"")</f>
        <v/>
      </c>
      <c r="I24" s="138" t="str">
        <f>IFERROR(__xludf.DUMMYFUNCTION("IFERROR(INDEX(FILTER('Vân tay'!$A$5:$O330,'Vân tay'!$C$5:$C330=F24,'Vân tay'!$B$5:$B330=D24),1,14),"""")"),"")</f>
        <v/>
      </c>
      <c r="J24" s="138" t="str">
        <f>IFERROR(__xludf.DUMMYFUNCTION("IFERROR(INDEX(FILTER('Vân tay'!$A$5:$O330,'Vân tay'!$C$5:$C330=F24,'Vân tay'!$B$5:$B330=D24),1,15),"""")"),"")</f>
        <v/>
      </c>
      <c r="K24" s="139">
        <f t="shared" si="17"/>
        <v>0</v>
      </c>
      <c r="L24" s="139" t="str">
        <f t="shared" si="18"/>
        <v/>
      </c>
      <c r="M24" s="139" t="s">
        <v>45</v>
      </c>
      <c r="N24" s="140" t="str">
        <f t="shared" si="19"/>
        <v/>
      </c>
      <c r="O24" s="140"/>
      <c r="P24" s="139">
        <v>0.5</v>
      </c>
      <c r="Q24" s="140">
        <f>if(or(D24='Công T5'!$B$97,D24='Công T5'!$B$98,D24='Công T5'!$B$99,D24='Công T5'!$B$100,D24='Công T5'!$B$101),if(M24="CT",1,if(M24="C/2",0.5,M24)),0)</f>
        <v>0</v>
      </c>
      <c r="R24" s="140">
        <f t="shared" si="20"/>
        <v>0</v>
      </c>
      <c r="S24" s="141">
        <f t="shared" si="21"/>
        <v>0</v>
      </c>
      <c r="T24" s="140">
        <f t="shared" si="22"/>
        <v>0</v>
      </c>
      <c r="U24" s="140"/>
      <c r="V24" s="140"/>
      <c r="W24" s="140">
        <f t="shared" si="23"/>
        <v>0</v>
      </c>
      <c r="X24" s="142">
        <f t="shared" si="24"/>
        <v>1</v>
      </c>
      <c r="Y24" s="143"/>
    </row>
    <row r="25">
      <c r="A25" s="135">
        <v>18.0</v>
      </c>
      <c r="B25" s="135" t="s">
        <v>187</v>
      </c>
      <c r="C25" s="135" t="s">
        <v>46</v>
      </c>
      <c r="D25" s="136">
        <v>44681.0</v>
      </c>
      <c r="E25" s="135" t="str">
        <f>IFERROR(VLOOKUP(C25,'Công T5'!$C$7:$F$89,4,0),"")</f>
        <v>BLĐ</v>
      </c>
      <c r="F25" s="137">
        <f>IFERROR(__xludf.DUMMYFUNCTION("INDEX(FILTER('Công T5'!$B$8:$C$89,'Công T5'!$C$8:$C$89=C25),1,1)"),10003.0)</f>
        <v>10003</v>
      </c>
      <c r="G25" s="138"/>
      <c r="H25" s="138"/>
      <c r="I25" s="138"/>
      <c r="J25" s="138"/>
      <c r="K25" s="139"/>
      <c r="L25" s="139"/>
      <c r="M25" s="139" t="s">
        <v>43</v>
      </c>
      <c r="N25" s="140"/>
      <c r="O25" s="140"/>
      <c r="P25" s="140"/>
      <c r="Q25" s="140"/>
      <c r="R25" s="140"/>
      <c r="S25" s="141"/>
      <c r="T25" s="140"/>
      <c r="U25" s="140"/>
      <c r="V25" s="140"/>
      <c r="W25" s="140"/>
      <c r="X25" s="142"/>
      <c r="Y25" s="143"/>
    </row>
    <row r="26">
      <c r="A26" s="135">
        <v>19.0</v>
      </c>
      <c r="B26" s="135" t="s">
        <v>187</v>
      </c>
      <c r="C26" s="135" t="s">
        <v>46</v>
      </c>
      <c r="D26" s="136">
        <v>44682.0</v>
      </c>
      <c r="E26" s="135" t="str">
        <f>IFERROR(VLOOKUP(C26,'Công T5'!$C$7:$F$89,4,0),"")</f>
        <v>BLĐ</v>
      </c>
      <c r="F26" s="137">
        <f>IFERROR(__xludf.DUMMYFUNCTION("INDEX(FILTER('Công T5'!$B$8:$C$89,'Công T5'!$C$8:$C$89=C26),1,1)"),10003.0)</f>
        <v>10003</v>
      </c>
      <c r="G26" s="138"/>
      <c r="H26" s="138"/>
      <c r="I26" s="138"/>
      <c r="J26" s="138"/>
      <c r="K26" s="139"/>
      <c r="L26" s="139"/>
      <c r="M26" s="139" t="s">
        <v>43</v>
      </c>
      <c r="N26" s="140"/>
      <c r="O26" s="140"/>
      <c r="P26" s="140"/>
      <c r="Q26" s="140"/>
      <c r="R26" s="140"/>
      <c r="S26" s="141"/>
      <c r="T26" s="140"/>
      <c r="U26" s="140"/>
      <c r="V26" s="140"/>
      <c r="W26" s="140"/>
      <c r="X26" s="142"/>
      <c r="Y26" s="143"/>
    </row>
    <row r="27">
      <c r="A27" s="135">
        <v>20.0</v>
      </c>
      <c r="B27" s="135" t="s">
        <v>192</v>
      </c>
      <c r="C27" s="135" t="s">
        <v>46</v>
      </c>
      <c r="D27" s="136">
        <v>44698.0</v>
      </c>
      <c r="E27" s="135" t="str">
        <f>IFERROR(VLOOKUP(C27,'Công T5'!$C$7:$F$89,4,0),"")</f>
        <v>BLĐ</v>
      </c>
      <c r="F27" s="137">
        <f>IFERROR(__xludf.DUMMYFUNCTION("INDEX(FILTER('Công T5'!$B$8:$C$89,'Công T5'!$C$8:$C$89=C27),1,1)"),10003.0)</f>
        <v>10003</v>
      </c>
      <c r="G27" s="138" t="str">
        <f>IFERROR(__xludf.DUMMYFUNCTION("IFERROR(INDEX(FILTER('Vân tay'!$A$5:$O330,'Vân tay'!$C$5:$C330=F27,'Vân tay'!$B$5:$B330=D27),1,10),"""")"),"")</f>
        <v/>
      </c>
      <c r="H27" s="138" t="str">
        <f>IFERROR(__xludf.DUMMYFUNCTION("IFERROR(INDEX(FILTER('Vân tay'!$A$5:$O330,'Vân tay'!$C$5:$C330=F27,'Vân tay'!$B$5:$B330=D27),1,11),"""")"),"")</f>
        <v/>
      </c>
      <c r="I27" s="138" t="str">
        <f>IFERROR(__xludf.DUMMYFUNCTION("IFERROR(INDEX(FILTER('Vân tay'!$A$5:$O330,'Vân tay'!$C$5:$C330=F27,'Vân tay'!$B$5:$B330=D27),1,14),"""")"),"")</f>
        <v/>
      </c>
      <c r="J27" s="138" t="str">
        <f>IFERROR(__xludf.DUMMYFUNCTION("IFERROR(INDEX(FILTER('Vân tay'!$A$5:$O330,'Vân tay'!$C$5:$C330=F27,'Vân tay'!$B$5:$B330=D27),1,15),"""")"),"")</f>
        <v/>
      </c>
      <c r="K27" s="139">
        <f t="shared" ref="K27:K28" si="26">if(B27="","",if(J27&lt;&gt;"",if(I27&lt;$L$1,if(J27&lt;$L$1,J27-I27,$L$1-I27),0),"")*24/8)</f>
        <v>0</v>
      </c>
      <c r="L27" s="139" t="str">
        <f t="shared" ref="L27:L28" si="27">if(I27="","",if(J27="","",if(J27&gt;$M$1,if(I27&lt;$M$1,J27-$M$1,J27-I27)*24/8,"")))</f>
        <v/>
      </c>
      <c r="M27" s="139" t="s">
        <v>42</v>
      </c>
      <c r="N27" s="140" t="str">
        <f t="shared" ref="N27:N28" si="28">if(G27&lt;&gt;"",if(G27&gt;$I$1,1,0),"")</f>
        <v/>
      </c>
      <c r="O27" s="140"/>
      <c r="P27" s="140">
        <f t="shared" ref="P27:P28" si="29">if(Y27="làm thêm ngày thường",X27,if(Y27="làm thêm T7, CN",M27,0))</f>
        <v>0</v>
      </c>
      <c r="Q27" s="140">
        <f>if(or(D27='Công T5'!$B$97,D27='Công T5'!$B$98,D27='Công T5'!$B$99,D27='Công T5'!$B$100,D27='Công T5'!$B$101),if(M27="CT",1,if(M27="C/2",0.5,M27)),0)</f>
        <v>0</v>
      </c>
      <c r="R27" s="140">
        <f t="shared" ref="R27:R28" si="30">if(and(or(WEEKDAY(D27,3)&lt;5,D27=$E$1,D27=$F$1,D27=$G$1),G27&lt;$Q$1,G27&lt;&gt;""),1,0)+if(and(or(WEEKDAY(D27,3)&lt;5,D27=$E$1,D27=$F$1,D27=$G$1),H27&gt;$R$1,H27&lt;&gt;""),1,0)</f>
        <v>0</v>
      </c>
      <c r="S27" s="141">
        <f t="shared" ref="S27:S28" si="31">if(and(WEEKDAY(D27,3)&gt;4,D27&lt;&gt;$E$1,D27&lt;&gt;$F$1,D27&lt;&gt;$G$1,G27&lt;$Q$1,G27&lt;&gt;""),1,0)+if(and(WEEKDAY(D27,3)&gt;4,D27&lt;&gt;$E$1,D27&lt;&gt;$F$1,D27&lt;&gt;$G$1,H27&gt;$R$1,H27&lt;&gt;""),1,0)</f>
        <v>0</v>
      </c>
      <c r="T27" s="140">
        <f t="shared" ref="T27:T28" si="32">if(and(E27="ĐT",H27&lt;&gt;"",H27&gt;$R$1),1,0)</f>
        <v>0</v>
      </c>
      <c r="U27" s="140"/>
      <c r="V27" s="140"/>
      <c r="W27" s="140">
        <f t="shared" ref="W27:W28" si="33">if(E27="LX",if(and(G27&lt;$S$1,H27&gt;$T$1,M27&lt;&gt;1,M27&lt;&gt;"CT"),1,""),"")+if(E27="LX",if(and(G27&lt;$U$1,H27&gt;$V$1),1,""),"")</f>
        <v>0</v>
      </c>
      <c r="X27" s="142">
        <f t="shared" ref="X27:X28" si="34">if(B27="","",(if($I$1-G27&gt;0,$I$1-G27,0)+if(H27-$N$1&gt;0,H27-$N$1,0))*24/8)</f>
        <v>1</v>
      </c>
      <c r="Y27" s="143"/>
    </row>
    <row r="28">
      <c r="A28" s="135">
        <v>21.0</v>
      </c>
      <c r="B28" s="135" t="s">
        <v>192</v>
      </c>
      <c r="C28" s="135" t="s">
        <v>46</v>
      </c>
      <c r="D28" s="136">
        <v>44700.0</v>
      </c>
      <c r="E28" s="135" t="str">
        <f>IFERROR(VLOOKUP(C28,'Công T5'!$C$7:$F$89,4,0),"")</f>
        <v>BLĐ</v>
      </c>
      <c r="F28" s="137">
        <f>IFERROR(__xludf.DUMMYFUNCTION("INDEX(FILTER('Công T5'!$B$8:$C$89,'Công T5'!$C$8:$C$89=C28),1,1)"),10003.0)</f>
        <v>10003</v>
      </c>
      <c r="G28" s="138" t="str">
        <f>IFERROR(__xludf.DUMMYFUNCTION("IFERROR(INDEX(FILTER('Vân tay'!$A$5:$O330,'Vân tay'!$C$5:$C330=F28,'Vân tay'!$B$5:$B330=D28),1,10),"""")"),"")</f>
        <v/>
      </c>
      <c r="H28" s="138" t="str">
        <f>IFERROR(__xludf.DUMMYFUNCTION("IFERROR(INDEX(FILTER('Vân tay'!$A$5:$O330,'Vân tay'!$C$5:$C330=F28,'Vân tay'!$B$5:$B330=D28),1,11),"""")"),"")</f>
        <v/>
      </c>
      <c r="I28" s="138" t="str">
        <f>IFERROR(__xludf.DUMMYFUNCTION("IFERROR(INDEX(FILTER('Vân tay'!$A$5:$O330,'Vân tay'!$C$5:$C330=F28,'Vân tay'!$B$5:$B330=D28),1,14),"""")"),"")</f>
        <v/>
      </c>
      <c r="J28" s="138" t="str">
        <f>IFERROR(__xludf.DUMMYFUNCTION("IFERROR(INDEX(FILTER('Vân tay'!$A$5:$O330,'Vân tay'!$C$5:$C330=F28,'Vân tay'!$B$5:$B330=D28),1,15),"""")"),"")</f>
        <v/>
      </c>
      <c r="K28" s="139">
        <f t="shared" si="26"/>
        <v>0</v>
      </c>
      <c r="L28" s="139" t="str">
        <f t="shared" si="27"/>
        <v/>
      </c>
      <c r="M28" s="139" t="s">
        <v>42</v>
      </c>
      <c r="N28" s="140" t="str">
        <f t="shared" si="28"/>
        <v/>
      </c>
      <c r="O28" s="140"/>
      <c r="P28" s="140">
        <f t="shared" si="29"/>
        <v>0</v>
      </c>
      <c r="Q28" s="140">
        <f>if(or(D28='Công T5'!$B$97,D28='Công T5'!$B$98,D28='Công T5'!$B$99,D28='Công T5'!$B$100,D28='Công T5'!$B$101),if(M28="CT",1,if(M28="C/2",0.5,M28)),0)</f>
        <v>0</v>
      </c>
      <c r="R28" s="140">
        <f t="shared" si="30"/>
        <v>0</v>
      </c>
      <c r="S28" s="141">
        <f t="shared" si="31"/>
        <v>0</v>
      </c>
      <c r="T28" s="140">
        <f t="shared" si="32"/>
        <v>0</v>
      </c>
      <c r="U28" s="140"/>
      <c r="V28" s="140"/>
      <c r="W28" s="140">
        <f t="shared" si="33"/>
        <v>0</v>
      </c>
      <c r="X28" s="142">
        <f t="shared" si="34"/>
        <v>1</v>
      </c>
      <c r="Y28" s="143"/>
    </row>
    <row r="29">
      <c r="A29" s="135">
        <v>22.0</v>
      </c>
      <c r="B29" s="135" t="s">
        <v>187</v>
      </c>
      <c r="C29" s="135" t="s">
        <v>47</v>
      </c>
      <c r="D29" s="136">
        <v>44681.0</v>
      </c>
      <c r="E29" s="135" t="str">
        <f>IFERROR(VLOOKUP(C29,'Công T5'!$C$7:$F$89,4,0),"")</f>
        <v>BLĐ</v>
      </c>
      <c r="F29" s="137">
        <f>IFERROR(__xludf.DUMMYFUNCTION("INDEX(FILTER('Công T5'!$B$8:$C$89,'Công T5'!$C$8:$C$89=C29),1,1)"),10031.0)</f>
        <v>10031</v>
      </c>
      <c r="G29" s="138"/>
      <c r="H29" s="138"/>
      <c r="I29" s="138"/>
      <c r="J29" s="138"/>
      <c r="K29" s="139"/>
      <c r="L29" s="139"/>
      <c r="M29" s="139" t="s">
        <v>43</v>
      </c>
      <c r="N29" s="140"/>
      <c r="O29" s="140"/>
      <c r="P29" s="140"/>
      <c r="Q29" s="140"/>
      <c r="R29" s="140"/>
      <c r="S29" s="141"/>
      <c r="T29" s="140"/>
      <c r="U29" s="140"/>
      <c r="V29" s="140"/>
      <c r="W29" s="140"/>
      <c r="X29" s="142"/>
      <c r="Y29" s="143"/>
    </row>
    <row r="30">
      <c r="A30" s="135">
        <v>23.0</v>
      </c>
      <c r="B30" s="135" t="s">
        <v>187</v>
      </c>
      <c r="C30" s="135" t="s">
        <v>47</v>
      </c>
      <c r="D30" s="136">
        <v>44682.0</v>
      </c>
      <c r="E30" s="135" t="str">
        <f>IFERROR(VLOOKUP(C30,'Công T5'!$C$7:$F$89,4,0),"")</f>
        <v>BLĐ</v>
      </c>
      <c r="F30" s="137">
        <f>IFERROR(__xludf.DUMMYFUNCTION("INDEX(FILTER('Công T5'!$B$8:$C$89,'Công T5'!$C$8:$C$89=C30),1,1)"),10031.0)</f>
        <v>10031</v>
      </c>
      <c r="G30" s="138"/>
      <c r="H30" s="138"/>
      <c r="I30" s="138"/>
      <c r="J30" s="138"/>
      <c r="K30" s="139"/>
      <c r="L30" s="139"/>
      <c r="M30" s="139" t="s">
        <v>43</v>
      </c>
      <c r="N30" s="140"/>
      <c r="O30" s="140"/>
      <c r="P30" s="140"/>
      <c r="Q30" s="140"/>
      <c r="R30" s="140"/>
      <c r="S30" s="141"/>
      <c r="T30" s="140"/>
      <c r="U30" s="140"/>
      <c r="V30" s="140"/>
      <c r="W30" s="140"/>
      <c r="X30" s="142"/>
      <c r="Y30" s="143"/>
    </row>
    <row r="31">
      <c r="A31" s="135">
        <v>24.0</v>
      </c>
      <c r="B31" s="135" t="s">
        <v>193</v>
      </c>
      <c r="C31" s="135" t="s">
        <v>47</v>
      </c>
      <c r="D31" s="136">
        <v>44685.0</v>
      </c>
      <c r="E31" s="135" t="str">
        <f>IFERROR(VLOOKUP(C31,'Công T5'!$C$7:$F$89,4,0),"")</f>
        <v>BLĐ</v>
      </c>
      <c r="F31" s="137">
        <f>IFERROR(__xludf.DUMMYFUNCTION("INDEX(FILTER('Công T5'!$B$8:$C$89,'Công T5'!$C$8:$C$89=C31),1,1)"),10031.0)</f>
        <v>10031</v>
      </c>
      <c r="G31" s="138" t="str">
        <f>IFERROR(__xludf.DUMMYFUNCTION("IFERROR(INDEX(FILTER('Vân tay'!$A$5:$O330,'Vân tay'!$C$5:$C330=F31,'Vân tay'!$B$5:$B330=D31),1,10),"""")"),"")</f>
        <v/>
      </c>
      <c r="H31" s="138" t="str">
        <f>IFERROR(__xludf.DUMMYFUNCTION("IFERROR(INDEX(FILTER('Vân tay'!$A$5:$O330,'Vân tay'!$C$5:$C330=F31,'Vân tay'!$B$5:$B330=D31),1,11),"""")"),"")</f>
        <v/>
      </c>
      <c r="I31" s="138" t="str">
        <f>IFERROR(__xludf.DUMMYFUNCTION("IFERROR(INDEX(FILTER('Vân tay'!$A$5:$O330,'Vân tay'!$C$5:$C330=F31,'Vân tay'!$B$5:$B330=D31),1,14),"""")"),"")</f>
        <v/>
      </c>
      <c r="J31" s="138" t="str">
        <f>IFERROR(__xludf.DUMMYFUNCTION("IFERROR(INDEX(FILTER('Vân tay'!$A$5:$O330,'Vân tay'!$C$5:$C330=F31,'Vân tay'!$B$5:$B330=D31),1,15),"""")"),"")</f>
        <v/>
      </c>
      <c r="K31" s="139">
        <f t="shared" ref="K31:K35" si="35">if(B31="","",if(J31&lt;&gt;"",if(I31&lt;$L$1,if(J31&lt;$L$1,J31-I31,$L$1-I31),0),"")*24/8)</f>
        <v>0</v>
      </c>
      <c r="L31" s="139" t="str">
        <f t="shared" ref="L31:L35" si="36">if(I31="","",if(J31="","",if(J31&gt;$M$1,if(I31&lt;$M$1,J31-$M$1,J31-I31)*24/8,"")))</f>
        <v/>
      </c>
      <c r="M31" s="139" t="s">
        <v>48</v>
      </c>
      <c r="N31" s="140" t="str">
        <f t="shared" ref="N31:N35" si="37">if(G31&lt;&gt;"",if(G31&gt;$I$1,1,0),"")</f>
        <v/>
      </c>
      <c r="O31" s="140"/>
      <c r="P31" s="140">
        <f t="shared" ref="P31:P35" si="38">if(Y31="làm thêm ngày thường",X31,if(Y31="làm thêm T7, CN",M31,0))</f>
        <v>0</v>
      </c>
      <c r="Q31" s="140">
        <f>if(or(D31='Công T5'!$B$97,D31='Công T5'!$B$98,D31='Công T5'!$B$99,D31='Công T5'!$B$100,D31='Công T5'!$B$101),if(M31="CT",1,if(M31="C/2",0.5,M31)),0)</f>
        <v>0</v>
      </c>
      <c r="R31" s="140">
        <f t="shared" ref="R31:R35" si="39">if(and(or(WEEKDAY(D31,3)&lt;5,D31=$E$1,D31=$F$1,D31=$G$1),G31&lt;$Q$1,G31&lt;&gt;""),1,0)+if(and(or(WEEKDAY(D31,3)&lt;5,D31=$E$1,D31=$F$1,D31=$G$1),H31&gt;$R$1,H31&lt;&gt;""),1,0)</f>
        <v>0</v>
      </c>
      <c r="S31" s="141">
        <f t="shared" ref="S31:S35" si="40">if(and(WEEKDAY(D31,3)&gt;4,D31&lt;&gt;$E$1,D31&lt;&gt;$F$1,D31&lt;&gt;$G$1,G31&lt;$Q$1,G31&lt;&gt;""),1,0)+if(and(WEEKDAY(D31,3)&gt;4,D31&lt;&gt;$E$1,D31&lt;&gt;$F$1,D31&lt;&gt;$G$1,H31&gt;$R$1,H31&lt;&gt;""),1,0)</f>
        <v>0</v>
      </c>
      <c r="T31" s="140">
        <f t="shared" ref="T31:T35" si="41">if(and(E31="ĐT",H31&lt;&gt;"",H31&gt;$R$1),1,0)</f>
        <v>0</v>
      </c>
      <c r="U31" s="140"/>
      <c r="V31" s="140"/>
      <c r="W31" s="140">
        <f t="shared" ref="W31:W35" si="42">if(E31="LX",if(and(G31&lt;$S$1,H31&gt;$T$1,M31&lt;&gt;1,M31&lt;&gt;"CT"),1,""),"")+if(E31="LX",if(and(G31&lt;$U$1,H31&gt;$V$1),1,""),"")</f>
        <v>0</v>
      </c>
      <c r="X31" s="142">
        <f t="shared" ref="X31:X35" si="43">if(B31="","",(if($I$1-G31&gt;0,$I$1-G31,0)+if(H31-$N$1&gt;0,H31-$N$1,0))*24/8)</f>
        <v>1</v>
      </c>
      <c r="Y31" s="143"/>
    </row>
    <row r="32">
      <c r="A32" s="135">
        <v>25.0</v>
      </c>
      <c r="B32" s="135" t="s">
        <v>194</v>
      </c>
      <c r="C32" s="135" t="s">
        <v>47</v>
      </c>
      <c r="D32" s="136">
        <v>44704.0</v>
      </c>
      <c r="E32" s="135" t="str">
        <f>IFERROR(VLOOKUP(C32,'Công T5'!$C$7:$F$89,4,0),"")</f>
        <v>BLĐ</v>
      </c>
      <c r="F32" s="137">
        <f>IFERROR(__xludf.DUMMYFUNCTION("INDEX(FILTER('Công T5'!$B$8:$C$89,'Công T5'!$C$8:$C$89=C32),1,1)"),10031.0)</f>
        <v>10031</v>
      </c>
      <c r="G32" s="138" t="str">
        <f>IFERROR(__xludf.DUMMYFUNCTION("IFERROR(INDEX(FILTER('Vân tay'!$A$5:$O330,'Vân tay'!$C$5:$C330=F32,'Vân tay'!$B$5:$B330=D32),1,10),"""")"),"")</f>
        <v/>
      </c>
      <c r="H32" s="138" t="str">
        <f>IFERROR(__xludf.DUMMYFUNCTION("IFERROR(INDEX(FILTER('Vân tay'!$A$5:$O330,'Vân tay'!$C$5:$C330=F32,'Vân tay'!$B$5:$B330=D32),1,11),"""")"),"")</f>
        <v/>
      </c>
      <c r="I32" s="138" t="str">
        <f>IFERROR(__xludf.DUMMYFUNCTION("IFERROR(INDEX(FILTER('Vân tay'!$A$5:$O330,'Vân tay'!$C$5:$C330=F32,'Vân tay'!$B$5:$B330=D32),1,14),"""")"),"")</f>
        <v/>
      </c>
      <c r="J32" s="138" t="str">
        <f>IFERROR(__xludf.DUMMYFUNCTION("IFERROR(INDEX(FILTER('Vân tay'!$A$5:$O330,'Vân tay'!$C$5:$C330=F32,'Vân tay'!$B$5:$B330=D32),1,15),"""")"),"")</f>
        <v/>
      </c>
      <c r="K32" s="139">
        <f t="shared" si="35"/>
        <v>0</v>
      </c>
      <c r="L32" s="139" t="str">
        <f t="shared" si="36"/>
        <v/>
      </c>
      <c r="M32" s="139" t="s">
        <v>42</v>
      </c>
      <c r="N32" s="140" t="str">
        <f t="shared" si="37"/>
        <v/>
      </c>
      <c r="O32" s="140"/>
      <c r="P32" s="140">
        <f t="shared" si="38"/>
        <v>0</v>
      </c>
      <c r="Q32" s="140">
        <f>if(or(D32='Công T5'!$B$97,D32='Công T5'!$B$98,D32='Công T5'!$B$99,D32='Công T5'!$B$100,D32='Công T5'!$B$101),if(M32="CT",1,if(M32="C/2",0.5,M32)),0)</f>
        <v>0</v>
      </c>
      <c r="R32" s="140">
        <f t="shared" si="39"/>
        <v>0</v>
      </c>
      <c r="S32" s="141">
        <f t="shared" si="40"/>
        <v>0</v>
      </c>
      <c r="T32" s="140">
        <f t="shared" si="41"/>
        <v>0</v>
      </c>
      <c r="U32" s="140"/>
      <c r="V32" s="140"/>
      <c r="W32" s="140">
        <f t="shared" si="42"/>
        <v>0</v>
      </c>
      <c r="X32" s="142">
        <f t="shared" si="43"/>
        <v>1</v>
      </c>
      <c r="Y32" s="143"/>
    </row>
    <row r="33">
      <c r="A33" s="135">
        <v>26.0</v>
      </c>
      <c r="B33" s="135" t="s">
        <v>194</v>
      </c>
      <c r="C33" s="135" t="s">
        <v>47</v>
      </c>
      <c r="D33" s="136">
        <v>44705.0</v>
      </c>
      <c r="E33" s="135" t="str">
        <f>IFERROR(VLOOKUP(C33,'Công T5'!$C$7:$F$89,4,0),"")</f>
        <v>BLĐ</v>
      </c>
      <c r="F33" s="137">
        <f>IFERROR(__xludf.DUMMYFUNCTION("INDEX(FILTER('Công T5'!$B$8:$C$89,'Công T5'!$C$8:$C$89=C33),1,1)"),10031.0)</f>
        <v>10031</v>
      </c>
      <c r="G33" s="138" t="str">
        <f>IFERROR(__xludf.DUMMYFUNCTION("IFERROR(INDEX(FILTER('Vân tay'!$A$5:$O330,'Vân tay'!$C$5:$C330=F33,'Vân tay'!$B$5:$B330=D33),1,10),"""")"),"")</f>
        <v/>
      </c>
      <c r="H33" s="138" t="str">
        <f>IFERROR(__xludf.DUMMYFUNCTION("IFERROR(INDEX(FILTER('Vân tay'!$A$5:$O330,'Vân tay'!$C$5:$C330=F33,'Vân tay'!$B$5:$B330=D33),1,11),"""")"),"")</f>
        <v/>
      </c>
      <c r="I33" s="138" t="str">
        <f>IFERROR(__xludf.DUMMYFUNCTION("IFERROR(INDEX(FILTER('Vân tay'!$A$5:$O330,'Vân tay'!$C$5:$C330=F33,'Vân tay'!$B$5:$B330=D33),1,14),"""")"),"")</f>
        <v/>
      </c>
      <c r="J33" s="138" t="str">
        <f>IFERROR(__xludf.DUMMYFUNCTION("IFERROR(INDEX(FILTER('Vân tay'!$A$5:$O330,'Vân tay'!$C$5:$C330=F33,'Vân tay'!$B$5:$B330=D33),1,15),"""")"),"")</f>
        <v/>
      </c>
      <c r="K33" s="139">
        <f t="shared" si="35"/>
        <v>0</v>
      </c>
      <c r="L33" s="139" t="str">
        <f t="shared" si="36"/>
        <v/>
      </c>
      <c r="M33" s="139" t="s">
        <v>42</v>
      </c>
      <c r="N33" s="140" t="str">
        <f t="shared" si="37"/>
        <v/>
      </c>
      <c r="O33" s="140"/>
      <c r="P33" s="140">
        <f t="shared" si="38"/>
        <v>0</v>
      </c>
      <c r="Q33" s="140">
        <f>if(or(D33='Công T5'!$B$97,D33='Công T5'!$B$98,D33='Công T5'!$B$99,D33='Công T5'!$B$100,D33='Công T5'!$B$101),if(M33="CT",1,if(M33="C/2",0.5,M33)),0)</f>
        <v>0</v>
      </c>
      <c r="R33" s="140">
        <f t="shared" si="39"/>
        <v>0</v>
      </c>
      <c r="S33" s="141">
        <f t="shared" si="40"/>
        <v>0</v>
      </c>
      <c r="T33" s="140">
        <f t="shared" si="41"/>
        <v>0</v>
      </c>
      <c r="U33" s="140"/>
      <c r="V33" s="140"/>
      <c r="W33" s="140">
        <f t="shared" si="42"/>
        <v>0</v>
      </c>
      <c r="X33" s="142">
        <f t="shared" si="43"/>
        <v>1</v>
      </c>
      <c r="Y33" s="143"/>
    </row>
    <row r="34">
      <c r="A34" s="135">
        <v>27.0</v>
      </c>
      <c r="B34" s="135" t="s">
        <v>194</v>
      </c>
      <c r="C34" s="135" t="s">
        <v>47</v>
      </c>
      <c r="D34" s="136">
        <v>44706.0</v>
      </c>
      <c r="E34" s="135" t="str">
        <f>IFERROR(VLOOKUP(C34,'Công T5'!$C$7:$F$89,4,0),"")</f>
        <v>BLĐ</v>
      </c>
      <c r="F34" s="137">
        <f>IFERROR(__xludf.DUMMYFUNCTION("INDEX(FILTER('Công T5'!$B$8:$C$89,'Công T5'!$C$8:$C$89=C34),1,1)"),10031.0)</f>
        <v>10031</v>
      </c>
      <c r="G34" s="138" t="str">
        <f>IFERROR(__xludf.DUMMYFUNCTION("IFERROR(INDEX(FILTER('Vân tay'!$A$5:$O330,'Vân tay'!$C$5:$C330=F34,'Vân tay'!$B$5:$B330=D34),1,10),"""")"),"")</f>
        <v/>
      </c>
      <c r="H34" s="138" t="str">
        <f>IFERROR(__xludf.DUMMYFUNCTION("IFERROR(INDEX(FILTER('Vân tay'!$A$5:$O330,'Vân tay'!$C$5:$C330=F34,'Vân tay'!$B$5:$B330=D34),1,11),"""")"),"")</f>
        <v/>
      </c>
      <c r="I34" s="138" t="str">
        <f>IFERROR(__xludf.DUMMYFUNCTION("IFERROR(INDEX(FILTER('Vân tay'!$A$5:$O330,'Vân tay'!$C$5:$C330=F34,'Vân tay'!$B$5:$B330=D34),1,14),"""")"),"")</f>
        <v/>
      </c>
      <c r="J34" s="138" t="str">
        <f>IFERROR(__xludf.DUMMYFUNCTION("IFERROR(INDEX(FILTER('Vân tay'!$A$5:$O330,'Vân tay'!$C$5:$C330=F34,'Vân tay'!$B$5:$B330=D34),1,15),"""")"),"")</f>
        <v/>
      </c>
      <c r="K34" s="139">
        <f t="shared" si="35"/>
        <v>0</v>
      </c>
      <c r="L34" s="139" t="str">
        <f t="shared" si="36"/>
        <v/>
      </c>
      <c r="M34" s="139" t="s">
        <v>42</v>
      </c>
      <c r="N34" s="140" t="str">
        <f t="shared" si="37"/>
        <v/>
      </c>
      <c r="O34" s="140"/>
      <c r="P34" s="140">
        <f t="shared" si="38"/>
        <v>0</v>
      </c>
      <c r="Q34" s="140">
        <f>if(or(D34='Công T5'!$B$97,D34='Công T5'!$B$98,D34='Công T5'!$B$99,D34='Công T5'!$B$100,D34='Công T5'!$B$101),if(M34="CT",1,if(M34="C/2",0.5,M34)),0)</f>
        <v>0</v>
      </c>
      <c r="R34" s="140">
        <f t="shared" si="39"/>
        <v>0</v>
      </c>
      <c r="S34" s="141">
        <f t="shared" si="40"/>
        <v>0</v>
      </c>
      <c r="T34" s="140">
        <f t="shared" si="41"/>
        <v>0</v>
      </c>
      <c r="U34" s="140"/>
      <c r="V34" s="140"/>
      <c r="W34" s="140">
        <f t="shared" si="42"/>
        <v>0</v>
      </c>
      <c r="X34" s="142">
        <f t="shared" si="43"/>
        <v>1</v>
      </c>
      <c r="Y34" s="143"/>
    </row>
    <row r="35">
      <c r="A35" s="135"/>
      <c r="B35" s="135" t="s">
        <v>195</v>
      </c>
      <c r="C35" s="135" t="s">
        <v>62</v>
      </c>
      <c r="D35" s="136">
        <v>44695.0</v>
      </c>
      <c r="E35" s="135" t="str">
        <f>IFERROR(VLOOKUP(C35,'Công T5'!$C$7:$F$89,4,0),"")</f>
        <v>ĐT</v>
      </c>
      <c r="F35" s="137">
        <f>IFERROR(__xludf.DUMMYFUNCTION("INDEX(FILTER('Công T5'!$B$8:$C$89,'Công T5'!$C$8:$C$89=C35),1,1)"),10408.0)</f>
        <v>10408</v>
      </c>
      <c r="G35" s="138" t="str">
        <f>IFERROR(__xludf.DUMMYFUNCTION("IFERROR(INDEX(FILTER('Vân tay'!$A$5:$O330,'Vân tay'!$C$5:$C330=F35,'Vân tay'!$B$5:$B330=D35),1,10),"""")"),"")</f>
        <v/>
      </c>
      <c r="H35" s="138" t="str">
        <f>IFERROR(__xludf.DUMMYFUNCTION("IFERROR(INDEX(FILTER('Vân tay'!$A$5:$O330,'Vân tay'!$C$5:$C330=F35,'Vân tay'!$B$5:$B330=D35),1,11),"""")"),"")</f>
        <v/>
      </c>
      <c r="I35" s="138" t="str">
        <f>IFERROR(__xludf.DUMMYFUNCTION("IFERROR(INDEX(FILTER('Vân tay'!$A$5:$O330,'Vân tay'!$C$5:$C330=F35,'Vân tay'!$B$5:$B330=D35),1,14),"""")"),"")</f>
        <v/>
      </c>
      <c r="J35" s="138" t="str">
        <f>IFERROR(__xludf.DUMMYFUNCTION("IFERROR(INDEX(FILTER('Vân tay'!$A$5:$O330,'Vân tay'!$C$5:$C330=F35,'Vân tay'!$B$5:$B330=D35),1,15),"""")"),"")</f>
        <v/>
      </c>
      <c r="K35" s="139">
        <f t="shared" si="35"/>
        <v>0</v>
      </c>
      <c r="L35" s="139" t="str">
        <f t="shared" si="36"/>
        <v/>
      </c>
      <c r="M35" s="139">
        <v>1.0</v>
      </c>
      <c r="N35" s="140" t="str">
        <f t="shared" si="37"/>
        <v/>
      </c>
      <c r="O35" s="140"/>
      <c r="P35" s="140">
        <f t="shared" si="38"/>
        <v>0</v>
      </c>
      <c r="Q35" s="140">
        <f>if(or(D35='Công T5'!$B$97,D35='Công T5'!$B$98,D35='Công T5'!$B$99,D35='Công T5'!$B$100,D35='Công T5'!$B$101),if(M35="CT",1,if(M35="C/2",0.5,M35)),0)</f>
        <v>0</v>
      </c>
      <c r="R35" s="140">
        <f t="shared" si="39"/>
        <v>0</v>
      </c>
      <c r="S35" s="141">
        <f t="shared" si="40"/>
        <v>0</v>
      </c>
      <c r="T35" s="140">
        <f t="shared" si="41"/>
        <v>0</v>
      </c>
      <c r="U35" s="140"/>
      <c r="V35" s="140"/>
      <c r="W35" s="140">
        <f t="shared" si="42"/>
        <v>0</v>
      </c>
      <c r="X35" s="142">
        <f t="shared" si="43"/>
        <v>1</v>
      </c>
      <c r="Y35" s="143"/>
    </row>
    <row r="36">
      <c r="A36" s="135">
        <v>28.0</v>
      </c>
      <c r="B36" s="135" t="s">
        <v>187</v>
      </c>
      <c r="C36" s="135" t="s">
        <v>62</v>
      </c>
      <c r="D36" s="136">
        <v>44681.0</v>
      </c>
      <c r="E36" s="135" t="str">
        <f>IFERROR(VLOOKUP(C36,'Công T5'!$C$7:$F$89,4,0),"")</f>
        <v>ĐT</v>
      </c>
      <c r="F36" s="137">
        <f>IFERROR(__xludf.DUMMYFUNCTION("INDEX(FILTER('Công T5'!$B$8:$C$89,'Công T5'!$C$8:$C$89=C36),1,1)"),10408.0)</f>
        <v>10408</v>
      </c>
      <c r="G36" s="138"/>
      <c r="H36" s="138"/>
      <c r="I36" s="138"/>
      <c r="J36" s="138"/>
      <c r="K36" s="139"/>
      <c r="L36" s="139"/>
      <c r="M36" s="139" t="s">
        <v>43</v>
      </c>
      <c r="N36" s="140"/>
      <c r="O36" s="140"/>
      <c r="P36" s="140"/>
      <c r="Q36" s="140"/>
      <c r="R36" s="140"/>
      <c r="S36" s="141"/>
      <c r="T36" s="140"/>
      <c r="U36" s="140"/>
      <c r="V36" s="140"/>
      <c r="W36" s="140"/>
      <c r="X36" s="142"/>
      <c r="Y36" s="143"/>
    </row>
    <row r="37">
      <c r="A37" s="135">
        <v>29.0</v>
      </c>
      <c r="B37" s="135" t="s">
        <v>187</v>
      </c>
      <c r="C37" s="135" t="s">
        <v>62</v>
      </c>
      <c r="D37" s="136">
        <v>44682.0</v>
      </c>
      <c r="E37" s="135" t="str">
        <f>IFERROR(VLOOKUP(C37,'Công T5'!$C$7:$F$89,4,0),"")</f>
        <v>ĐT</v>
      </c>
      <c r="F37" s="137">
        <f>IFERROR(__xludf.DUMMYFUNCTION("INDEX(FILTER('Công T5'!$B$8:$C$89,'Công T5'!$C$8:$C$89=C37),1,1)"),10408.0)</f>
        <v>10408</v>
      </c>
      <c r="G37" s="138"/>
      <c r="H37" s="138"/>
      <c r="I37" s="138"/>
      <c r="J37" s="138"/>
      <c r="K37" s="139"/>
      <c r="L37" s="139"/>
      <c r="M37" s="139" t="s">
        <v>43</v>
      </c>
      <c r="N37" s="140"/>
      <c r="O37" s="140"/>
      <c r="P37" s="140"/>
      <c r="Q37" s="140"/>
      <c r="R37" s="140"/>
      <c r="S37" s="141"/>
      <c r="T37" s="140"/>
      <c r="U37" s="140"/>
      <c r="V37" s="140"/>
      <c r="W37" s="140"/>
      <c r="X37" s="142"/>
      <c r="Y37" s="143"/>
    </row>
    <row r="38">
      <c r="A38" s="135">
        <v>30.0</v>
      </c>
      <c r="B38" s="135" t="s">
        <v>187</v>
      </c>
      <c r="C38" s="135" t="s">
        <v>51</v>
      </c>
      <c r="D38" s="136">
        <v>44681.0</v>
      </c>
      <c r="E38" s="135" t="str">
        <f>IFERROR(VLOOKUP(C38,'Công T5'!$C$7:$F$89,4,0),"")</f>
        <v>ĐT</v>
      </c>
      <c r="F38" s="137">
        <f>IFERROR(__xludf.DUMMYFUNCTION("INDEX(FILTER('Công T5'!$B$8:$C$89,'Công T5'!$C$8:$C$89=C38),1,1)"),10029.0)</f>
        <v>10029</v>
      </c>
      <c r="G38" s="138"/>
      <c r="H38" s="138"/>
      <c r="I38" s="138"/>
      <c r="J38" s="138"/>
      <c r="K38" s="139"/>
      <c r="L38" s="139"/>
      <c r="M38" s="139" t="s">
        <v>43</v>
      </c>
      <c r="N38" s="140"/>
      <c r="O38" s="140"/>
      <c r="P38" s="140"/>
      <c r="Q38" s="140"/>
      <c r="R38" s="140"/>
      <c r="S38" s="141"/>
      <c r="T38" s="140"/>
      <c r="U38" s="140"/>
      <c r="V38" s="140"/>
      <c r="W38" s="140"/>
      <c r="X38" s="142"/>
      <c r="Y38" s="143"/>
    </row>
    <row r="39">
      <c r="A39" s="135">
        <v>31.0</v>
      </c>
      <c r="B39" s="135" t="s">
        <v>187</v>
      </c>
      <c r="C39" s="135" t="s">
        <v>51</v>
      </c>
      <c r="D39" s="136">
        <v>44682.0</v>
      </c>
      <c r="E39" s="135" t="str">
        <f>IFERROR(VLOOKUP(C39,'Công T5'!$C$7:$F$89,4,0),"")</f>
        <v>ĐT</v>
      </c>
      <c r="F39" s="137">
        <f>IFERROR(__xludf.DUMMYFUNCTION("INDEX(FILTER('Công T5'!$B$8:$C$89,'Công T5'!$C$8:$C$89=C39),1,1)"),10029.0)</f>
        <v>10029</v>
      </c>
      <c r="G39" s="138"/>
      <c r="H39" s="138"/>
      <c r="I39" s="138"/>
      <c r="J39" s="138"/>
      <c r="K39" s="139"/>
      <c r="L39" s="139"/>
      <c r="M39" s="139" t="s">
        <v>43</v>
      </c>
      <c r="N39" s="140"/>
      <c r="O39" s="140"/>
      <c r="P39" s="140"/>
      <c r="Q39" s="140"/>
      <c r="R39" s="140"/>
      <c r="S39" s="141"/>
      <c r="T39" s="140"/>
      <c r="U39" s="140"/>
      <c r="V39" s="140"/>
      <c r="W39" s="140"/>
      <c r="X39" s="142"/>
      <c r="Y39" s="143"/>
    </row>
    <row r="40">
      <c r="A40" s="135">
        <v>32.0</v>
      </c>
      <c r="B40" s="135" t="s">
        <v>196</v>
      </c>
      <c r="C40" s="135" t="s">
        <v>51</v>
      </c>
      <c r="D40" s="136">
        <v>44694.0</v>
      </c>
      <c r="E40" s="135" t="str">
        <f>IFERROR(VLOOKUP(C40,'Công T5'!$C$7:$F$89,4,0),"")</f>
        <v>ĐT</v>
      </c>
      <c r="F40" s="137">
        <f>IFERROR(__xludf.DUMMYFUNCTION("INDEX(FILTER('Công T5'!$B$8:$C$89,'Công T5'!$C$8:$C$89=C40),1,1)"),10029.0)</f>
        <v>10029</v>
      </c>
      <c r="G40" s="138" t="str">
        <f>IFERROR(__xludf.DUMMYFUNCTION("IFERROR(INDEX(FILTER('Vân tay'!$A$5:$O330,'Vân tay'!$C$5:$C330=F40,'Vân tay'!$B$5:$B330=D40),1,10),"""")"),"")</f>
        <v/>
      </c>
      <c r="H40" s="138" t="str">
        <f>IFERROR(__xludf.DUMMYFUNCTION("IFERROR(INDEX(FILTER('Vân tay'!$A$5:$O330,'Vân tay'!$C$5:$C330=F40,'Vân tay'!$B$5:$B330=D40),1,11),"""")"),"")</f>
        <v/>
      </c>
      <c r="I40" s="138" t="str">
        <f>IFERROR(__xludf.DUMMYFUNCTION("IFERROR(INDEX(FILTER('Vân tay'!$A$5:$O330,'Vân tay'!$C$5:$C330=F40,'Vân tay'!$B$5:$B330=D40),1,14),"""")"),"")</f>
        <v/>
      </c>
      <c r="J40" s="138" t="str">
        <f>IFERROR(__xludf.DUMMYFUNCTION("IFERROR(INDEX(FILTER('Vân tay'!$A$5:$O330,'Vân tay'!$C$5:$C330=F40,'Vân tay'!$B$5:$B330=D40),1,15),"""")"),"")</f>
        <v/>
      </c>
      <c r="K40" s="139">
        <f t="shared" ref="K40:K41" si="44">if(B40="","",if(J40&lt;&gt;"",if(I40&lt;$L$1,if(J40&lt;$L$1,J40-I40,$L$1-I40),0),"")*24/8)</f>
        <v>0</v>
      </c>
      <c r="L40" s="139" t="str">
        <f t="shared" ref="L40:L41" si="45">if(I40="","",if(J40="","",if(J40&gt;$M$1,if(I40&lt;$M$1,J40-$M$1,J40-I40)*24/8,"")))</f>
        <v/>
      </c>
      <c r="M40" s="139" t="s">
        <v>48</v>
      </c>
      <c r="N40" s="140" t="str">
        <f t="shared" ref="N40:N41" si="46">if(G40&lt;&gt;"",if(G40&gt;$I$1,1,0),"")</f>
        <v/>
      </c>
      <c r="O40" s="140"/>
      <c r="P40" s="140">
        <f t="shared" ref="P40:P41" si="47">if(Y40="làm thêm ngày thường",X40,if(Y40="làm thêm T7, CN",M40,0))</f>
        <v>0</v>
      </c>
      <c r="Q40" s="140">
        <f>if(or(D40='Công T5'!$B$97,D40='Công T5'!$B$98,D40='Công T5'!$B$99,D40='Công T5'!$B$100,D40='Công T5'!$B$101),if(M40="CT",1,if(M40="C/2",0.5,M40)),0)</f>
        <v>0</v>
      </c>
      <c r="R40" s="140">
        <f t="shared" ref="R40:R41" si="48">if(and(or(WEEKDAY(D40,3)&lt;5,D40=$E$1,D40=$F$1,D40=$G$1),G40&lt;$Q$1,G40&lt;&gt;""),1,0)+if(and(or(WEEKDAY(D40,3)&lt;5,D40=$E$1,D40=$F$1,D40=$G$1),H40&gt;$R$1,H40&lt;&gt;""),1,0)</f>
        <v>0</v>
      </c>
      <c r="S40" s="141">
        <f t="shared" ref="S40:S41" si="49">if(and(WEEKDAY(D40,3)&gt;4,D40&lt;&gt;$E$1,D40&lt;&gt;$F$1,D40&lt;&gt;$G$1,G40&lt;$Q$1,G40&lt;&gt;""),1,0)+if(and(WEEKDAY(D40,3)&gt;4,D40&lt;&gt;$E$1,D40&lt;&gt;$F$1,D40&lt;&gt;$G$1,H40&gt;$R$1,H40&lt;&gt;""),1,0)</f>
        <v>0</v>
      </c>
      <c r="T40" s="140">
        <f t="shared" ref="T40:T41" si="50">if(and(E40="ĐT",H40&lt;&gt;"",H40&gt;$R$1),1,0)</f>
        <v>0</v>
      </c>
      <c r="U40" s="140"/>
      <c r="V40" s="140"/>
      <c r="W40" s="140">
        <f t="shared" ref="W40:W41" si="51">if(E40="LX",if(and(G40&lt;$S$1,H40&gt;$T$1,M40&lt;&gt;1,M40&lt;&gt;"CT"),1,""),"")+if(E40="LX",if(and(G40&lt;$U$1,H40&gt;$V$1),1,""),"")</f>
        <v>0</v>
      </c>
      <c r="X40" s="142">
        <f>if(B40="","",(if($I$1-G40&gt;0,$I$1-G40,0)+if(H40-$N$1&gt;0,H40-$N$1,0))*24/8)</f>
        <v>1</v>
      </c>
      <c r="Y40" s="143"/>
    </row>
    <row r="41">
      <c r="A41" s="135">
        <v>33.0</v>
      </c>
      <c r="B41" s="135" t="s">
        <v>197</v>
      </c>
      <c r="C41" s="135" t="s">
        <v>59</v>
      </c>
      <c r="D41" s="136">
        <v>44681.0</v>
      </c>
      <c r="E41" s="135" t="str">
        <f>IFERROR(VLOOKUP(C41,'Công T5'!$C$7:$F$89,4,0),"")</f>
        <v>ĐT</v>
      </c>
      <c r="F41" s="137">
        <f>IFERROR(__xludf.DUMMYFUNCTION("INDEX(FILTER('Công T5'!$B$8:$C$89,'Công T5'!$C$8:$C$89=C41),1,1)"),10406.0)</f>
        <v>10406</v>
      </c>
      <c r="G41" s="138" t="str">
        <f>IFERROR(__xludf.DUMMYFUNCTION("IFERROR(INDEX(FILTER('Vân tay'!$A$5:$O330,'Vân tay'!$C$5:$C330=F41,'Vân tay'!$B$5:$B330=D41),1,10),"""")"),"")</f>
        <v/>
      </c>
      <c r="H41" s="138" t="str">
        <f>IFERROR(__xludf.DUMMYFUNCTION("IFERROR(INDEX(FILTER('Vân tay'!$A$5:$O330,'Vân tay'!$C$5:$C330=F41,'Vân tay'!$B$5:$B330=D41),1,11),"""")"),"")</f>
        <v/>
      </c>
      <c r="I41" s="138">
        <v>0.5416666666666666</v>
      </c>
      <c r="J41" s="138">
        <v>0.7083333333333334</v>
      </c>
      <c r="K41" s="139">
        <f t="shared" si="44"/>
        <v>0</v>
      </c>
      <c r="L41" s="139">
        <f t="shared" si="45"/>
        <v>0.5</v>
      </c>
      <c r="M41" s="139" t="s">
        <v>60</v>
      </c>
      <c r="N41" s="140" t="str">
        <f t="shared" si="46"/>
        <v/>
      </c>
      <c r="O41" s="140">
        <f>if(B41&lt;&gt;"",if(OR(J41="",M41=""),1,0),"")</f>
        <v>0</v>
      </c>
      <c r="P41" s="140">
        <f t="shared" si="47"/>
        <v>0</v>
      </c>
      <c r="Q41" s="139"/>
      <c r="R41" s="140">
        <f t="shared" si="48"/>
        <v>0</v>
      </c>
      <c r="S41" s="141">
        <f t="shared" si="49"/>
        <v>0</v>
      </c>
      <c r="T41" s="140">
        <f t="shared" si="50"/>
        <v>0</v>
      </c>
      <c r="U41" s="140"/>
      <c r="V41" s="140"/>
      <c r="W41" s="140">
        <f t="shared" si="51"/>
        <v>0</v>
      </c>
      <c r="X41" s="142"/>
      <c r="Y41" s="143"/>
    </row>
    <row r="42">
      <c r="A42" s="135">
        <v>34.0</v>
      </c>
      <c r="B42" s="135" t="s">
        <v>187</v>
      </c>
      <c r="C42" s="135" t="s">
        <v>59</v>
      </c>
      <c r="D42" s="136">
        <v>44682.0</v>
      </c>
      <c r="E42" s="135" t="str">
        <f>IFERROR(VLOOKUP(C42,'Công T5'!$C$7:$F$89,4,0),"")</f>
        <v>ĐT</v>
      </c>
      <c r="F42" s="137">
        <f>IFERROR(__xludf.DUMMYFUNCTION("INDEX(FILTER('Công T5'!$B$8:$C$89,'Công T5'!$C$8:$C$89=C42),1,1)"),10406.0)</f>
        <v>10406</v>
      </c>
      <c r="G42" s="138"/>
      <c r="H42" s="138"/>
      <c r="I42" s="138"/>
      <c r="J42" s="138"/>
      <c r="K42" s="139"/>
      <c r="L42" s="139"/>
      <c r="M42" s="139" t="s">
        <v>43</v>
      </c>
      <c r="N42" s="140"/>
      <c r="O42" s="140"/>
      <c r="P42" s="140"/>
      <c r="Q42" s="140"/>
      <c r="R42" s="140"/>
      <c r="S42" s="141"/>
      <c r="T42" s="140"/>
      <c r="U42" s="140"/>
      <c r="V42" s="140"/>
      <c r="W42" s="140"/>
      <c r="X42" s="142"/>
      <c r="Y42" s="143"/>
    </row>
    <row r="43">
      <c r="A43" s="135">
        <v>35.0</v>
      </c>
      <c r="B43" s="135" t="s">
        <v>197</v>
      </c>
      <c r="C43" s="135" t="s">
        <v>59</v>
      </c>
      <c r="D43" s="136">
        <v>44689.0</v>
      </c>
      <c r="E43" s="135" t="str">
        <f>IFERROR(VLOOKUP(C43,'Công T5'!$C$7:$F$89,4,0),"")</f>
        <v>ĐT</v>
      </c>
      <c r="F43" s="137">
        <f>IFERROR(__xludf.DUMMYFUNCTION("INDEX(FILTER('Công T5'!$B$8:$C$89,'Công T5'!$C$8:$C$89=C43),1,1)"),10406.0)</f>
        <v>10406</v>
      </c>
      <c r="G43" s="138">
        <f>IFERROR(__xludf.DUMMYFUNCTION("IFERROR(INDEX(FILTER('Vân tay'!$A$5:$O330,'Vân tay'!$C$5:$C330=F43,'Vân tay'!$B$5:$B330=D43),1,10),"""")"),0.3229166666666667)</f>
        <v>0.3229166667</v>
      </c>
      <c r="H43" s="138">
        <f>IFERROR(__xludf.DUMMYFUNCTION("IFERROR(INDEX(FILTER('Vân tay'!$A$5:$O330,'Vân tay'!$C$5:$C330=F43,'Vân tay'!$B$5:$B330=D43),1,11),"""")"),0.7138888888888889)</f>
        <v>0.7138888889</v>
      </c>
      <c r="I43" s="138">
        <v>0.3333333333333333</v>
      </c>
      <c r="J43" s="138">
        <v>0.7083333333333334</v>
      </c>
      <c r="K43" s="139">
        <f t="shared" ref="K43:K45" si="52">if(B43="","",if(J43&lt;&gt;"",if(I43&lt;$L$1,if(J43&lt;$L$1,J43-I43,$L$1-I43),0),"")*24/8)</f>
        <v>0.5</v>
      </c>
      <c r="L43" s="139">
        <f t="shared" ref="L43:L45" si="53">if(I43="","",if(J43="","",if(J43&gt;$M$1,if(I43&lt;$M$1,J43-$M$1,J43-I43)*24/8,"")))</f>
        <v>0.5</v>
      </c>
      <c r="M43" s="139">
        <v>1.0</v>
      </c>
      <c r="N43" s="140">
        <f t="shared" ref="N43:N45" si="54">if(G43&lt;&gt;"",if(G43&gt;$I$1,1,0),"")</f>
        <v>0</v>
      </c>
      <c r="O43" s="140">
        <f t="shared" ref="O43:O45" si="55">if(B43&lt;&gt;"",if(OR(J43="",M43=""),1,0),"")</f>
        <v>0</v>
      </c>
      <c r="P43" s="139">
        <v>1.0</v>
      </c>
      <c r="Q43" s="139"/>
      <c r="R43" s="140">
        <f t="shared" ref="R43:R45" si="56">if(and(or(WEEKDAY(D43,3)&lt;5,D43=$E$1,D43=$F$1,D43=$G$1),G43&lt;$Q$1,G43&lt;&gt;""),1,0)+if(and(or(WEEKDAY(D43,3)&lt;5,D43=$E$1,D43=$F$1,D43=$G$1),H43&gt;$R$1,H43&lt;&gt;""),1,0)</f>
        <v>0</v>
      </c>
      <c r="S43" s="141">
        <f t="shared" ref="S43:S45" si="57">if(and(WEEKDAY(D43,3)&gt;4,D43&lt;&gt;$E$1,D43&lt;&gt;$F$1,D43&lt;&gt;$G$1,G43&lt;$Q$1,G43&lt;&gt;""),1,0)+if(and(WEEKDAY(D43,3)&gt;4,D43&lt;&gt;$E$1,D43&lt;&gt;$F$1,D43&lt;&gt;$G$1,H43&gt;$R$1,H43&lt;&gt;""),1,0)</f>
        <v>0</v>
      </c>
      <c r="T43" s="140">
        <f t="shared" ref="T43:T44" si="58">if(and(E43="ĐT",H43&lt;&gt;"",H43&gt;$R$1),1,0)</f>
        <v>0</v>
      </c>
      <c r="U43" s="140"/>
      <c r="V43" s="140"/>
      <c r="W43" s="140">
        <f t="shared" ref="W43:W45" si="59">if(E43="LX",if(and(G43&lt;$S$1,H43&gt;$T$1,M43&lt;&gt;1,M43&lt;&gt;"CT"),1,""),"")+if(E43="LX",if(and(G43&lt;$U$1,H43&gt;$V$1),1,""),"")</f>
        <v>0</v>
      </c>
      <c r="X43" s="142"/>
      <c r="Y43" s="143"/>
    </row>
    <row r="44">
      <c r="A44" s="135">
        <v>36.0</v>
      </c>
      <c r="B44" s="135" t="s">
        <v>197</v>
      </c>
      <c r="C44" s="135" t="s">
        <v>59</v>
      </c>
      <c r="D44" s="136">
        <v>44695.0</v>
      </c>
      <c r="E44" s="135" t="str">
        <f>IFERROR(VLOOKUP(C44,'Công T5'!$C$7:$F$89,4,0),"")</f>
        <v>ĐT</v>
      </c>
      <c r="F44" s="137">
        <f>IFERROR(__xludf.DUMMYFUNCTION("INDEX(FILTER('Công T5'!$B$8:$C$89,'Công T5'!$C$8:$C$89=C44),1,1)"),10406.0)</f>
        <v>10406</v>
      </c>
      <c r="G44" s="138">
        <f>IFERROR(__xludf.DUMMYFUNCTION("IFERROR(INDEX(FILTER('Vân tay'!$A$5:$O330,'Vân tay'!$C$5:$C330=F44,'Vân tay'!$B$5:$B330=D44),1,10),"""")"),0.25555555555555554)</f>
        <v>0.2555555556</v>
      </c>
      <c r="H44" s="138">
        <f>IFERROR(__xludf.DUMMYFUNCTION("IFERROR(INDEX(FILTER('Vân tay'!$A$5:$O330,'Vân tay'!$C$5:$C330=F44,'Vân tay'!$B$5:$B330=D44),1,11),"""")"),0.7333333333333333)</f>
        <v>0.7333333333</v>
      </c>
      <c r="I44" s="138">
        <v>0.3333333333333333</v>
      </c>
      <c r="J44" s="138">
        <v>0.7083333333333334</v>
      </c>
      <c r="K44" s="139">
        <f t="shared" si="52"/>
        <v>0.5</v>
      </c>
      <c r="L44" s="139">
        <f t="shared" si="53"/>
        <v>0.5</v>
      </c>
      <c r="M44" s="139">
        <v>1.0</v>
      </c>
      <c r="N44" s="140">
        <f t="shared" si="54"/>
        <v>0</v>
      </c>
      <c r="O44" s="140">
        <f t="shared" si="55"/>
        <v>0</v>
      </c>
      <c r="P44" s="139">
        <v>1.0</v>
      </c>
      <c r="Q44" s="139"/>
      <c r="R44" s="140">
        <f t="shared" si="56"/>
        <v>0</v>
      </c>
      <c r="S44" s="141">
        <f t="shared" si="57"/>
        <v>0</v>
      </c>
      <c r="T44" s="140">
        <f t="shared" si="58"/>
        <v>0</v>
      </c>
      <c r="U44" s="140"/>
      <c r="V44" s="140"/>
      <c r="W44" s="140">
        <f t="shared" si="59"/>
        <v>0</v>
      </c>
      <c r="X44" s="142"/>
      <c r="Y44" s="143"/>
    </row>
    <row r="45">
      <c r="A45" s="135">
        <v>37.0</v>
      </c>
      <c r="B45" s="135" t="s">
        <v>197</v>
      </c>
      <c r="C45" s="135" t="s">
        <v>59</v>
      </c>
      <c r="D45" s="136">
        <v>44703.0</v>
      </c>
      <c r="E45" s="135" t="str">
        <f>IFERROR(VLOOKUP(C45,'Công T5'!$C$7:$F$89,4,0),"")</f>
        <v>ĐT</v>
      </c>
      <c r="F45" s="137">
        <f>IFERROR(__xludf.DUMMYFUNCTION("INDEX(FILTER('Công T5'!$B$8:$C$89,'Công T5'!$C$8:$C$89=C45),1,1)"),10406.0)</f>
        <v>10406</v>
      </c>
      <c r="G45" s="138">
        <f>IFERROR(__xludf.DUMMYFUNCTION("IFERROR(INDEX(FILTER('Vân tay'!$A$5:$O330,'Vân tay'!$C$5:$C330=F45,'Vân tay'!$B$5:$B330=D45),1,10),"""")"),0.3333333333333333)</f>
        <v>0.3333333333</v>
      </c>
      <c r="H45" s="138">
        <f>IFERROR(__xludf.DUMMYFUNCTION("IFERROR(INDEX(FILTER('Vân tay'!$A$5:$O330,'Vân tay'!$C$5:$C330=F45,'Vân tay'!$B$5:$B330=D45),1,11),"""")"),0.7770833333333333)</f>
        <v>0.7770833333</v>
      </c>
      <c r="I45" s="138">
        <v>0.3333333333333333</v>
      </c>
      <c r="J45" s="138">
        <v>0.7083333333333334</v>
      </c>
      <c r="K45" s="139">
        <f t="shared" si="52"/>
        <v>0.5</v>
      </c>
      <c r="L45" s="139">
        <f t="shared" si="53"/>
        <v>0.5</v>
      </c>
      <c r="M45" s="139">
        <v>1.0</v>
      </c>
      <c r="N45" s="140">
        <f t="shared" si="54"/>
        <v>0</v>
      </c>
      <c r="O45" s="140">
        <f t="shared" si="55"/>
        <v>0</v>
      </c>
      <c r="P45" s="139">
        <v>1.0</v>
      </c>
      <c r="Q45" s="139"/>
      <c r="R45" s="140">
        <f t="shared" si="56"/>
        <v>0</v>
      </c>
      <c r="S45" s="141">
        <f t="shared" si="57"/>
        <v>0</v>
      </c>
      <c r="T45" s="139">
        <v>1.0</v>
      </c>
      <c r="U45" s="140"/>
      <c r="V45" s="140"/>
      <c r="W45" s="140">
        <f t="shared" si="59"/>
        <v>0</v>
      </c>
      <c r="X45" s="142"/>
      <c r="Y45" s="143"/>
    </row>
    <row r="46">
      <c r="A46" s="135">
        <v>38.0</v>
      </c>
      <c r="B46" s="135" t="s">
        <v>187</v>
      </c>
      <c r="C46" s="135" t="s">
        <v>52</v>
      </c>
      <c r="D46" s="136">
        <v>44681.0</v>
      </c>
      <c r="E46" s="135" t="str">
        <f>IFERROR(VLOOKUP(C46,'Công T5'!$C$7:$F$89,4,0),"")</f>
        <v>ĐT</v>
      </c>
      <c r="F46" s="137">
        <f>IFERROR(__xludf.DUMMYFUNCTION("INDEX(FILTER('Công T5'!$B$8:$C$89,'Công T5'!$C$8:$C$89=C46),1,1)"),10230.0)</f>
        <v>10230</v>
      </c>
      <c r="G46" s="138"/>
      <c r="H46" s="138"/>
      <c r="I46" s="138"/>
      <c r="J46" s="138"/>
      <c r="K46" s="139"/>
      <c r="L46" s="139"/>
      <c r="M46" s="139" t="s">
        <v>43</v>
      </c>
      <c r="N46" s="140"/>
      <c r="O46" s="140"/>
      <c r="P46" s="140"/>
      <c r="Q46" s="140"/>
      <c r="R46" s="140"/>
      <c r="S46" s="141"/>
      <c r="T46" s="140"/>
      <c r="U46" s="140"/>
      <c r="V46" s="140"/>
      <c r="W46" s="140"/>
      <c r="X46" s="142"/>
      <c r="Y46" s="143"/>
    </row>
    <row r="47">
      <c r="A47" s="135">
        <v>39.0</v>
      </c>
      <c r="B47" s="135" t="s">
        <v>187</v>
      </c>
      <c r="C47" s="135" t="s">
        <v>52</v>
      </c>
      <c r="D47" s="136">
        <v>44682.0</v>
      </c>
      <c r="E47" s="135" t="str">
        <f>IFERROR(VLOOKUP(C47,'Công T5'!$C$7:$F$89,4,0),"")</f>
        <v>ĐT</v>
      </c>
      <c r="F47" s="137">
        <f>IFERROR(__xludf.DUMMYFUNCTION("INDEX(FILTER('Công T5'!$B$8:$C$89,'Công T5'!$C$8:$C$89=C47),1,1)"),10230.0)</f>
        <v>10230</v>
      </c>
      <c r="G47" s="138"/>
      <c r="H47" s="138"/>
      <c r="I47" s="138"/>
      <c r="J47" s="138"/>
      <c r="K47" s="139"/>
      <c r="L47" s="139"/>
      <c r="M47" s="139" t="s">
        <v>43</v>
      </c>
      <c r="N47" s="140"/>
      <c r="O47" s="140"/>
      <c r="P47" s="140"/>
      <c r="Q47" s="140"/>
      <c r="R47" s="140"/>
      <c r="S47" s="141"/>
      <c r="T47" s="140"/>
      <c r="U47" s="140"/>
      <c r="V47" s="140"/>
      <c r="W47" s="140"/>
      <c r="X47" s="142"/>
      <c r="Y47" s="143"/>
    </row>
    <row r="48">
      <c r="A48" s="135">
        <v>40.0</v>
      </c>
      <c r="B48" s="135" t="s">
        <v>198</v>
      </c>
      <c r="C48" s="135" t="s">
        <v>52</v>
      </c>
      <c r="D48" s="136">
        <v>44690.0</v>
      </c>
      <c r="E48" s="135" t="str">
        <f>IFERROR(VLOOKUP(C48,'Công T5'!$C$7:$F$89,4,0),"")</f>
        <v>ĐT</v>
      </c>
      <c r="F48" s="137">
        <f>IFERROR(__xludf.DUMMYFUNCTION("INDEX(FILTER('Công T5'!$B$8:$C$89,'Công T5'!$C$8:$C$89=C48),1,1)"),10230.0)</f>
        <v>10230</v>
      </c>
      <c r="G48" s="138" t="str">
        <f>IFERROR(__xludf.DUMMYFUNCTION("IFERROR(INDEX(FILTER('Vân tay'!$A$5:$O330,'Vân tay'!$C$5:$C330=F48,'Vân tay'!$B$5:$B330=D48),1,10),"""")"),"")</f>
        <v/>
      </c>
      <c r="H48" s="138" t="str">
        <f>IFERROR(__xludf.DUMMYFUNCTION("IFERROR(INDEX(FILTER('Vân tay'!$A$5:$O330,'Vân tay'!$C$5:$C330=F48,'Vân tay'!$B$5:$B330=D48),1,11),"""")"),"")</f>
        <v/>
      </c>
      <c r="I48" s="138" t="str">
        <f>IFERROR(__xludf.DUMMYFUNCTION("IFERROR(INDEX(FILTER('Vân tay'!$A$5:$O330,'Vân tay'!$C$5:$C330=F48,'Vân tay'!$B$5:$B330=D48),1,14),"""")"),"")</f>
        <v/>
      </c>
      <c r="J48" s="138" t="str">
        <f>IFERROR(__xludf.DUMMYFUNCTION("IFERROR(INDEX(FILTER('Vân tay'!$A$5:$O330,'Vân tay'!$C$5:$C330=F48,'Vân tay'!$B$5:$B330=D48),1,15),"""")"),"")</f>
        <v/>
      </c>
      <c r="K48" s="139">
        <f t="shared" ref="K48:K50" si="60">if(B48="","",if(J48&lt;&gt;"",if(I48&lt;$L$1,if(J48&lt;$L$1,J48-I48,$L$1-I48),0),"")*24/8)</f>
        <v>0</v>
      </c>
      <c r="L48" s="139" t="str">
        <f t="shared" ref="L48:L50" si="61">if(I48="","",if(J48="","",if(J48&gt;$M$1,if(I48&lt;$M$1,J48-$M$1,J48-I48)*24/8,"")))</f>
        <v/>
      </c>
      <c r="M48" s="139" t="s">
        <v>48</v>
      </c>
      <c r="N48" s="140" t="str">
        <f t="shared" ref="N48:N50" si="62">if(G48&lt;&gt;"",if(G48&gt;$I$1,1,0),"")</f>
        <v/>
      </c>
      <c r="O48" s="140"/>
      <c r="P48" s="140">
        <f>if(Y48="làm thêm ngày thường",X48,if(Y48="làm thêm T7, CN",M48,0))</f>
        <v>0</v>
      </c>
      <c r="Q48" s="140">
        <f>if(or(D48='Công T5'!$B$97,D48='Công T5'!$B$98,D48='Công T5'!$B$99,D48='Công T5'!$B$100,D48='Công T5'!$B$101),if(M48="CT",1,if(M48="C/2",0.5,M48)),0)</f>
        <v>0</v>
      </c>
      <c r="R48" s="140">
        <f t="shared" ref="R48:R50" si="63">if(and(or(WEEKDAY(D48,3)&lt;5,D48=$E$1,D48=$F$1,D48=$G$1),G48&lt;$Q$1,G48&lt;&gt;""),1,0)+if(and(or(WEEKDAY(D48,3)&lt;5,D48=$E$1,D48=$F$1,D48=$G$1),H48&gt;$R$1,H48&lt;&gt;""),1,0)</f>
        <v>0</v>
      </c>
      <c r="S48" s="141">
        <f t="shared" ref="S48:S50" si="64">if(and(WEEKDAY(D48,3)&gt;4,D48&lt;&gt;$E$1,D48&lt;&gt;$F$1,D48&lt;&gt;$G$1,G48&lt;$Q$1,G48&lt;&gt;""),1,0)+if(and(WEEKDAY(D48,3)&gt;4,D48&lt;&gt;$E$1,D48&lt;&gt;$F$1,D48&lt;&gt;$G$1,H48&gt;$R$1,H48&lt;&gt;""),1,0)</f>
        <v>0</v>
      </c>
      <c r="T48" s="140">
        <f>if(and(E48="ĐT",H48&lt;&gt;"",H48&gt;$R$1),1,0)</f>
        <v>0</v>
      </c>
      <c r="U48" s="140"/>
      <c r="V48" s="140"/>
      <c r="W48" s="140">
        <f t="shared" ref="W48:W50" si="65">if(E48="LX",if(and(G48&lt;$S$1,H48&gt;$T$1,M48&lt;&gt;1,M48&lt;&gt;"CT"),1,""),"")+if(E48="LX",if(and(G48&lt;$U$1,H48&gt;$V$1),1,""),"")</f>
        <v>0</v>
      </c>
      <c r="X48" s="142">
        <f>if(B48="","",(if($I$1-G48&gt;0,$I$1-G48,0)+if(H48-$N$1&gt;0,H48-$N$1,0))*24/8)</f>
        <v>1</v>
      </c>
      <c r="Y48" s="143"/>
    </row>
    <row r="49">
      <c r="A49" s="135">
        <v>41.0</v>
      </c>
      <c r="B49" s="135" t="s">
        <v>199</v>
      </c>
      <c r="C49" s="135" t="s">
        <v>52</v>
      </c>
      <c r="D49" s="136">
        <v>44695.0</v>
      </c>
      <c r="E49" s="135" t="str">
        <f>IFERROR(VLOOKUP(C49,'Công T5'!$C$7:$F$89,4,0),"")</f>
        <v>ĐT</v>
      </c>
      <c r="F49" s="137">
        <f>IFERROR(__xludf.DUMMYFUNCTION("INDEX(FILTER('Công T5'!$B$8:$C$89,'Công T5'!$C$8:$C$89=C49),1,1)"),10230.0)</f>
        <v>10230</v>
      </c>
      <c r="G49" s="138">
        <f>IFERROR(__xludf.DUMMYFUNCTION("IFERROR(INDEX(FILTER('Vân tay'!$A$5:$O330,'Vân tay'!$C$5:$C330=F49,'Vân tay'!$B$5:$B330=D49),1,10),"""")"),0.3284722222222222)</f>
        <v>0.3284722222</v>
      </c>
      <c r="H49" s="138">
        <f>IFERROR(__xludf.DUMMYFUNCTION("IFERROR(INDEX(FILTER('Vân tay'!$A$5:$O330,'Vân tay'!$C$5:$C330=F49,'Vân tay'!$B$5:$B330=D49),1,11),"""")"),0.6715277777777777)</f>
        <v>0.6715277778</v>
      </c>
      <c r="I49" s="138">
        <v>0.3333333333333333</v>
      </c>
      <c r="J49" s="138">
        <v>0.7083333333333334</v>
      </c>
      <c r="K49" s="139">
        <f t="shared" si="60"/>
        <v>0.5</v>
      </c>
      <c r="L49" s="139">
        <f t="shared" si="61"/>
        <v>0.5</v>
      </c>
      <c r="M49" s="139">
        <v>1.0</v>
      </c>
      <c r="N49" s="140">
        <f t="shared" si="62"/>
        <v>0</v>
      </c>
      <c r="O49" s="140">
        <f t="shared" ref="O49:O50" si="66">if(B49&lt;&gt;"",if(OR(J49="",M49=""),1,0),"")</f>
        <v>0</v>
      </c>
      <c r="P49" s="139">
        <v>1.0</v>
      </c>
      <c r="Q49" s="139"/>
      <c r="R49" s="140">
        <f t="shared" si="63"/>
        <v>0</v>
      </c>
      <c r="S49" s="141">
        <f t="shared" si="64"/>
        <v>0</v>
      </c>
      <c r="T49" s="139"/>
      <c r="U49" s="140"/>
      <c r="V49" s="140"/>
      <c r="W49" s="140">
        <f t="shared" si="65"/>
        <v>0</v>
      </c>
      <c r="X49" s="142"/>
      <c r="Y49" s="143"/>
    </row>
    <row r="50">
      <c r="A50" s="135">
        <v>42.0</v>
      </c>
      <c r="B50" s="135" t="s">
        <v>199</v>
      </c>
      <c r="C50" s="135" t="s">
        <v>52</v>
      </c>
      <c r="D50" s="136">
        <v>44696.0</v>
      </c>
      <c r="E50" s="135" t="str">
        <f>IFERROR(VLOOKUP(C50,'Công T5'!$C$7:$F$89,4,0),"")</f>
        <v>ĐT</v>
      </c>
      <c r="F50" s="137">
        <f>IFERROR(__xludf.DUMMYFUNCTION("INDEX(FILTER('Công T5'!$B$8:$C$89,'Công T5'!$C$8:$C$89=C50),1,1)"),10230.0)</f>
        <v>10230</v>
      </c>
      <c r="G50" s="138">
        <f>IFERROR(__xludf.DUMMYFUNCTION("IFERROR(INDEX(FILTER('Vân tay'!$A$5:$O330,'Vân tay'!$C$5:$C330=F50,'Vân tay'!$B$5:$B330=D50),1,10),"""")"),0.33125)</f>
        <v>0.33125</v>
      </c>
      <c r="H50" s="138">
        <f>IFERROR(__xludf.DUMMYFUNCTION("IFERROR(INDEX(FILTER('Vân tay'!$A$5:$O330,'Vân tay'!$C$5:$C330=F50,'Vân tay'!$B$5:$B330=D50),1,11),"""")"),0.6715277777777777)</f>
        <v>0.6715277778</v>
      </c>
      <c r="I50" s="138">
        <v>0.3333333333333333</v>
      </c>
      <c r="J50" s="138">
        <v>0.7083333333333334</v>
      </c>
      <c r="K50" s="139">
        <f t="shared" si="60"/>
        <v>0.5</v>
      </c>
      <c r="L50" s="139">
        <f t="shared" si="61"/>
        <v>0.5</v>
      </c>
      <c r="M50" s="139">
        <v>1.0</v>
      </c>
      <c r="N50" s="140">
        <f t="shared" si="62"/>
        <v>0</v>
      </c>
      <c r="O50" s="140">
        <f t="shared" si="66"/>
        <v>0</v>
      </c>
      <c r="P50" s="139">
        <v>1.0</v>
      </c>
      <c r="Q50" s="139"/>
      <c r="R50" s="140">
        <f t="shared" si="63"/>
        <v>0</v>
      </c>
      <c r="S50" s="141">
        <f t="shared" si="64"/>
        <v>0</v>
      </c>
      <c r="T50" s="139"/>
      <c r="U50" s="140"/>
      <c r="V50" s="140"/>
      <c r="W50" s="140">
        <f t="shared" si="65"/>
        <v>0</v>
      </c>
      <c r="X50" s="142"/>
      <c r="Y50" s="143"/>
    </row>
    <row r="51">
      <c r="A51" s="135">
        <v>43.0</v>
      </c>
      <c r="B51" s="135" t="s">
        <v>187</v>
      </c>
      <c r="C51" s="135" t="s">
        <v>49</v>
      </c>
      <c r="D51" s="136">
        <v>44681.0</v>
      </c>
      <c r="E51" s="135" t="str">
        <f>IFERROR(VLOOKUP(C51,'Công T5'!$C$7:$F$89,4,0),"")</f>
        <v>ĐT</v>
      </c>
      <c r="F51" s="137">
        <f>IFERROR(__xludf.DUMMYFUNCTION("INDEX(FILTER('Công T5'!$B$8:$C$89,'Công T5'!$C$8:$C$89=C51),1,1)"),10387.0)</f>
        <v>10387</v>
      </c>
      <c r="G51" s="138"/>
      <c r="H51" s="138"/>
      <c r="I51" s="138"/>
      <c r="J51" s="138"/>
      <c r="K51" s="139"/>
      <c r="L51" s="139"/>
      <c r="M51" s="139" t="s">
        <v>43</v>
      </c>
      <c r="N51" s="140"/>
      <c r="O51" s="140"/>
      <c r="P51" s="140"/>
      <c r="Q51" s="140"/>
      <c r="R51" s="140"/>
      <c r="S51" s="141"/>
      <c r="T51" s="140"/>
      <c r="U51" s="140"/>
      <c r="V51" s="140"/>
      <c r="W51" s="140"/>
      <c r="X51" s="142"/>
      <c r="Y51" s="143"/>
    </row>
    <row r="52">
      <c r="A52" s="135">
        <v>44.0</v>
      </c>
      <c r="B52" s="135" t="s">
        <v>187</v>
      </c>
      <c r="C52" s="135" t="s">
        <v>49</v>
      </c>
      <c r="D52" s="136">
        <v>44682.0</v>
      </c>
      <c r="E52" s="135" t="str">
        <f>IFERROR(VLOOKUP(C52,'Công T5'!$C$7:$F$89,4,0),"")</f>
        <v>ĐT</v>
      </c>
      <c r="F52" s="137">
        <f>IFERROR(__xludf.DUMMYFUNCTION("INDEX(FILTER('Công T5'!$B$8:$C$89,'Công T5'!$C$8:$C$89=C52),1,1)"),10387.0)</f>
        <v>10387</v>
      </c>
      <c r="G52" s="138"/>
      <c r="H52" s="138"/>
      <c r="I52" s="138"/>
      <c r="J52" s="138"/>
      <c r="K52" s="139"/>
      <c r="L52" s="139"/>
      <c r="M52" s="139" t="s">
        <v>43</v>
      </c>
      <c r="N52" s="140"/>
      <c r="O52" s="140"/>
      <c r="P52" s="140"/>
      <c r="Q52" s="140"/>
      <c r="R52" s="140"/>
      <c r="S52" s="141"/>
      <c r="T52" s="140"/>
      <c r="U52" s="140"/>
      <c r="V52" s="140"/>
      <c r="W52" s="140"/>
      <c r="X52" s="142"/>
      <c r="Y52" s="143"/>
    </row>
    <row r="53">
      <c r="A53" s="135">
        <v>45.0</v>
      </c>
      <c r="B53" s="135" t="s">
        <v>200</v>
      </c>
      <c r="C53" s="135" t="s">
        <v>49</v>
      </c>
      <c r="D53" s="136">
        <v>44688.0</v>
      </c>
      <c r="E53" s="135" t="str">
        <f>IFERROR(VLOOKUP(C53,'Công T5'!$C$7:$F$89,4,0),"")</f>
        <v>ĐT</v>
      </c>
      <c r="F53" s="137">
        <f>IFERROR(__xludf.DUMMYFUNCTION("INDEX(FILTER('Công T5'!$B$8:$C$89,'Công T5'!$C$8:$C$89=C53),1,1)"),10387.0)</f>
        <v>10387</v>
      </c>
      <c r="G53" s="138" t="str">
        <f>IFERROR(__xludf.DUMMYFUNCTION("IFERROR(INDEX(FILTER('Vân tay'!$A$5:$O330,'Vân tay'!$C$5:$C330=F53,'Vân tay'!$B$5:$B330=D53),1,10),"""")"),"")</f>
        <v/>
      </c>
      <c r="H53" s="138" t="str">
        <f>IFERROR(__xludf.DUMMYFUNCTION("IFERROR(INDEX(FILTER('Vân tay'!$A$5:$O330,'Vân tay'!$C$5:$C330=F53,'Vân tay'!$B$5:$B330=D53),1,11),"""")"),"")</f>
        <v/>
      </c>
      <c r="I53" s="138" t="str">
        <f>IFERROR(__xludf.DUMMYFUNCTION("IFERROR(INDEX(FILTER('Vân tay'!$A$5:$O330,'Vân tay'!$C$5:$C330=F53,'Vân tay'!$B$5:$B330=D53),1,14),"""")"),"")</f>
        <v/>
      </c>
      <c r="J53" s="138" t="str">
        <f>IFERROR(__xludf.DUMMYFUNCTION("IFERROR(INDEX(FILTER('Vân tay'!$A$5:$O330,'Vân tay'!$C$5:$C330=F53,'Vân tay'!$B$5:$B330=D53),1,15),"""")"),"")</f>
        <v/>
      </c>
      <c r="K53" s="139">
        <f t="shared" ref="K53:K54" si="67">if(B53="","",if(J53&lt;&gt;"",if(I53&lt;$L$1,if(J53&lt;$L$1,J53-I53,$L$1-I53),0),"")*24/8)</f>
        <v>0</v>
      </c>
      <c r="L53" s="139" t="str">
        <f t="shared" ref="L53:L54" si="68">if(I53="","",if(J53="","",if(J53&gt;$M$1,if(I53&lt;$M$1,J53-$M$1,J53-I53)*24/8,"")))</f>
        <v/>
      </c>
      <c r="M53" s="139" t="s">
        <v>48</v>
      </c>
      <c r="N53" s="140" t="str">
        <f t="shared" ref="N53:N54" si="69">if(G53&lt;&gt;"",if(G53&gt;$I$1,1,0),"")</f>
        <v/>
      </c>
      <c r="O53" s="140"/>
      <c r="P53" s="140">
        <f t="shared" ref="P53:P54" si="70">if(Y53="làm thêm ngày thường",X53,if(Y53="làm thêm T7, CN",M53,0))</f>
        <v>0</v>
      </c>
      <c r="Q53" s="140">
        <f>if(or(D53='Công T5'!$B$97,D53='Công T5'!$B$98,D53='Công T5'!$B$99,D53='Công T5'!$B$100,D53='Công T5'!$B$101),if(M53="CT",1,if(M53="C/2",0.5,M53)),0)</f>
        <v>0</v>
      </c>
      <c r="R53" s="140">
        <f t="shared" ref="R53:R54" si="71">if(and(or(WEEKDAY(D53,3)&lt;5,D53=$E$1,D53=$F$1,D53=$G$1),G53&lt;$Q$1,G53&lt;&gt;""),1,0)+if(and(or(WEEKDAY(D53,3)&lt;5,D53=$E$1,D53=$F$1,D53=$G$1),H53&gt;$R$1,H53&lt;&gt;""),1,0)</f>
        <v>0</v>
      </c>
      <c r="S53" s="141">
        <f t="shared" ref="S53:S54" si="72">if(and(WEEKDAY(D53,3)&gt;4,D53&lt;&gt;$E$1,D53&lt;&gt;$F$1,D53&lt;&gt;$G$1,G53&lt;$Q$1,G53&lt;&gt;""),1,0)+if(and(WEEKDAY(D53,3)&gt;4,D53&lt;&gt;$E$1,D53&lt;&gt;$F$1,D53&lt;&gt;$G$1,H53&gt;$R$1,H53&lt;&gt;""),1,0)</f>
        <v>0</v>
      </c>
      <c r="T53" s="140">
        <f t="shared" ref="T53:T54" si="73">if(and(E53="ĐT",H53&lt;&gt;"",H53&gt;$R$1),1,0)</f>
        <v>0</v>
      </c>
      <c r="U53" s="140"/>
      <c r="V53" s="140"/>
      <c r="W53" s="140">
        <f t="shared" ref="W53:W54" si="74">if(E53="LX",if(and(G53&lt;$S$1,H53&gt;$T$1,M53&lt;&gt;1,M53&lt;&gt;"CT"),1,""),"")+if(E53="LX",if(and(G53&lt;$U$1,H53&gt;$V$1),1,""),"")</f>
        <v>0</v>
      </c>
      <c r="X53" s="142">
        <f t="shared" ref="X53:X54" si="75">if(B53="","",(if($I$1-G53&gt;0,$I$1-G53,0)+if(H53-$N$1&gt;0,H53-$N$1,0))*24/8)</f>
        <v>1</v>
      </c>
      <c r="Y53" s="143"/>
    </row>
    <row r="54">
      <c r="A54" s="135">
        <v>46.0</v>
      </c>
      <c r="B54" s="135" t="s">
        <v>201</v>
      </c>
      <c r="C54" s="135" t="s">
        <v>49</v>
      </c>
      <c r="D54" s="136">
        <v>44697.0</v>
      </c>
      <c r="E54" s="135" t="str">
        <f>IFERROR(VLOOKUP(C54,'Công T5'!$C$7:$F$89,4,0),"")</f>
        <v>ĐT</v>
      </c>
      <c r="F54" s="137">
        <f>IFERROR(__xludf.DUMMYFUNCTION("INDEX(FILTER('Công T5'!$B$8:$C$89,'Công T5'!$C$8:$C$89=C54),1,1)"),10387.0)</f>
        <v>10387</v>
      </c>
      <c r="G54" s="138">
        <f>IFERROR(__xludf.DUMMYFUNCTION("IFERROR(INDEX(FILTER('Vân tay'!$A$5:$O330,'Vân tay'!$C$5:$C330=F54,'Vân tay'!$B$5:$B330=D54),1,10),"""")"),0.32222222222222224)</f>
        <v>0.3222222222</v>
      </c>
      <c r="H54" s="138" t="str">
        <f>IFERROR(__xludf.DUMMYFUNCTION("IFERROR(INDEX(FILTER('Vân tay'!$A$5:$O330,'Vân tay'!$C$5:$C330=F54,'Vân tay'!$B$5:$B330=D54),1,11),"""")"),"")</f>
        <v/>
      </c>
      <c r="I54" s="138">
        <f>IFERROR(__xludf.DUMMYFUNCTION("IFERROR(INDEX(FILTER('Vân tay'!$A$5:$O330,'Vân tay'!$C$5:$C330=F54,'Vân tay'!$B$5:$B330=D54),1,14),"""")"),0.3333333333333333)</f>
        <v>0.3333333333</v>
      </c>
      <c r="J54" s="138">
        <v>0.7083333333333334</v>
      </c>
      <c r="K54" s="139">
        <f t="shared" si="67"/>
        <v>0.5</v>
      </c>
      <c r="L54" s="139">
        <f t="shared" si="68"/>
        <v>0.5</v>
      </c>
      <c r="M54" s="139">
        <f>if(P54&lt;&gt;0,text(P54,"+0.0"),if(B54="","",if(J54="",0.5,if(E54="NL",1,(K54+L54)))))</f>
        <v>1</v>
      </c>
      <c r="N54" s="140">
        <f t="shared" si="69"/>
        <v>0</v>
      </c>
      <c r="O54" s="140">
        <f>if(B54&lt;&gt;"",if(OR(J54="",M54=""),1,0),"")</f>
        <v>0</v>
      </c>
      <c r="P54" s="140">
        <f t="shared" si="70"/>
        <v>0</v>
      </c>
      <c r="Q54" s="140">
        <f>if(or(D54='Công T5'!$B$97,D54='Công T5'!$B$98,D54='Công T5'!$B$99,D54='Công T5'!$B$100,D54='Công T5'!$B$101),if(M54="CT",1,if(M54="C/2",0.5,M54)),0)</f>
        <v>0</v>
      </c>
      <c r="R54" s="140">
        <f t="shared" si="71"/>
        <v>0</v>
      </c>
      <c r="S54" s="141">
        <f t="shared" si="72"/>
        <v>0</v>
      </c>
      <c r="T54" s="140">
        <f t="shared" si="73"/>
        <v>0</v>
      </c>
      <c r="U54" s="140"/>
      <c r="V54" s="140"/>
      <c r="W54" s="140">
        <f t="shared" si="74"/>
        <v>0</v>
      </c>
      <c r="X54" s="142">
        <f t="shared" si="75"/>
        <v>0.03333333333</v>
      </c>
      <c r="Y54" s="143"/>
    </row>
    <row r="55">
      <c r="A55" s="135">
        <v>47.0</v>
      </c>
      <c r="B55" s="135" t="s">
        <v>187</v>
      </c>
      <c r="C55" s="135" t="s">
        <v>53</v>
      </c>
      <c r="D55" s="136">
        <v>44681.0</v>
      </c>
      <c r="E55" s="135" t="str">
        <f>IFERROR(VLOOKUP(C55,'Công T5'!$C$7:$F$89,4,0),"")</f>
        <v>ĐT</v>
      </c>
      <c r="F55" s="137">
        <f>IFERROR(__xludf.DUMMYFUNCTION("INDEX(FILTER('Công T5'!$B$8:$C$89,'Công T5'!$C$8:$C$89=C55),1,1)"),10084.0)</f>
        <v>10084</v>
      </c>
      <c r="G55" s="138"/>
      <c r="H55" s="138"/>
      <c r="I55" s="138"/>
      <c r="J55" s="138"/>
      <c r="K55" s="139"/>
      <c r="L55" s="139"/>
      <c r="M55" s="139" t="s">
        <v>43</v>
      </c>
      <c r="N55" s="140"/>
      <c r="O55" s="140"/>
      <c r="P55" s="140"/>
      <c r="Q55" s="140"/>
      <c r="R55" s="140"/>
      <c r="S55" s="141"/>
      <c r="T55" s="140"/>
      <c r="U55" s="140"/>
      <c r="V55" s="140"/>
      <c r="W55" s="140"/>
      <c r="X55" s="142"/>
      <c r="Y55" s="143"/>
    </row>
    <row r="56">
      <c r="A56" s="135">
        <v>48.0</v>
      </c>
      <c r="B56" s="135" t="s">
        <v>187</v>
      </c>
      <c r="C56" s="135" t="s">
        <v>53</v>
      </c>
      <c r="D56" s="136">
        <v>44682.0</v>
      </c>
      <c r="E56" s="135" t="str">
        <f>IFERROR(VLOOKUP(C56,'Công T5'!$C$7:$F$89,4,0),"")</f>
        <v>ĐT</v>
      </c>
      <c r="F56" s="137">
        <f>IFERROR(__xludf.DUMMYFUNCTION("INDEX(FILTER('Công T5'!$B$8:$C$89,'Công T5'!$C$8:$C$89=C56),1,1)"),10084.0)</f>
        <v>10084</v>
      </c>
      <c r="G56" s="138"/>
      <c r="H56" s="138"/>
      <c r="I56" s="138"/>
      <c r="J56" s="138"/>
      <c r="K56" s="139"/>
      <c r="L56" s="139"/>
      <c r="M56" s="139" t="s">
        <v>43</v>
      </c>
      <c r="N56" s="140"/>
      <c r="O56" s="140"/>
      <c r="P56" s="140"/>
      <c r="Q56" s="140"/>
      <c r="R56" s="140"/>
      <c r="S56" s="141"/>
      <c r="T56" s="140"/>
      <c r="U56" s="140"/>
      <c r="V56" s="140"/>
      <c r="W56" s="140"/>
      <c r="X56" s="142"/>
      <c r="Y56" s="143"/>
    </row>
    <row r="57">
      <c r="A57" s="135"/>
      <c r="B57" s="135" t="s">
        <v>202</v>
      </c>
      <c r="C57" s="135" t="s">
        <v>61</v>
      </c>
      <c r="D57" s="136">
        <v>44701.0</v>
      </c>
      <c r="E57" s="135" t="str">
        <f>IFERROR(VLOOKUP(C57,'Công T5'!$C$7:$F$89,4,0),"")</f>
        <v>ĐT</v>
      </c>
      <c r="F57" s="137">
        <f>IFERROR(__xludf.DUMMYFUNCTION("INDEX(FILTER('Công T5'!$B$8:$C$89,'Công T5'!$C$8:$C$89=C57),1,1)"),10407.0)</f>
        <v>10407</v>
      </c>
      <c r="G57" s="138" t="str">
        <f>IFERROR(__xludf.DUMMYFUNCTION("IFERROR(INDEX(FILTER('Vân tay'!$A$5:$O330,'Vân tay'!$C$5:$C330=F57,'Vân tay'!$B$5:$B330=D57),1,10),"""")"),"")</f>
        <v/>
      </c>
      <c r="H57" s="138" t="str">
        <f>IFERROR(__xludf.DUMMYFUNCTION("IFERROR(INDEX(FILTER('Vân tay'!$A$5:$O330,'Vân tay'!$C$5:$C330=F57,'Vân tay'!$B$5:$B330=D57),1,11),"""")"),"")</f>
        <v/>
      </c>
      <c r="I57" s="138" t="str">
        <f>IFERROR(__xludf.DUMMYFUNCTION("IFERROR(INDEX(FILTER('Vân tay'!$A$5:$O330,'Vân tay'!$C$5:$C330=F57,'Vân tay'!$B$5:$B330=D57),1,14),"""")"),"")</f>
        <v/>
      </c>
      <c r="J57" s="138" t="str">
        <f>IFERROR(__xludf.DUMMYFUNCTION("IFERROR(INDEX(FILTER('Vân tay'!$A$5:$O330,'Vân tay'!$C$5:$C330=F57,'Vân tay'!$B$5:$B330=D57),1,15),"""")"),"")</f>
        <v/>
      </c>
      <c r="K57" s="139">
        <f>if(B57="","",if(J57&lt;&gt;"",if(I57&lt;$L$1,if(J57&lt;$L$1,J57-I57,$L$1-I57),0),"")*24/8)</f>
        <v>0</v>
      </c>
      <c r="L57" s="139" t="str">
        <f>if(I57="","",if(J57="","",if(J57&gt;$M$1,if(I57&lt;$M$1,J57-$M$1,J57-I57)*24/8,"")))</f>
        <v/>
      </c>
      <c r="M57" s="139">
        <v>1.0</v>
      </c>
      <c r="N57" s="140" t="str">
        <f>if(G57&lt;&gt;"",if(G57&gt;$I$1,1,0),"")</f>
        <v/>
      </c>
      <c r="O57" s="140"/>
      <c r="P57" s="140">
        <f>if(Y57="làm thêm ngày thường",X57,if(Y57="làm thêm T7, CN",M57,0))</f>
        <v>0</v>
      </c>
      <c r="Q57" s="140">
        <f>if(or(D57='Công T5'!$B$97,D57='Công T5'!$B$98,D57='Công T5'!$B$99,D57='Công T5'!$B$100,D57='Công T5'!$B$101),if(M57="CT",1,if(M57="C/2",0.5,M57)),0)</f>
        <v>0</v>
      </c>
      <c r="R57" s="140">
        <f>if(and(or(WEEKDAY(D57,3)&lt;5,D57=$E$1,D57=$F$1,D57=$G$1),G57&lt;$Q$1,G57&lt;&gt;""),1,0)+if(and(or(WEEKDAY(D57,3)&lt;5,D57=$E$1,D57=$F$1,D57=$G$1),H57&gt;$R$1,H57&lt;&gt;""),1,0)</f>
        <v>0</v>
      </c>
      <c r="S57" s="141">
        <f>if(and(WEEKDAY(D57,3)&gt;4,D57&lt;&gt;$E$1,D57&lt;&gt;$F$1,D57&lt;&gt;$G$1,G57&lt;$Q$1,G57&lt;&gt;""),1,0)+if(and(WEEKDAY(D57,3)&gt;4,D57&lt;&gt;$E$1,D57&lt;&gt;$F$1,D57&lt;&gt;$G$1,H57&gt;$R$1,H57&lt;&gt;""),1,0)</f>
        <v>0</v>
      </c>
      <c r="T57" s="140">
        <f>if(and(E57="ĐT",H57&lt;&gt;"",H57&gt;$R$1),1,0)</f>
        <v>0</v>
      </c>
      <c r="U57" s="140"/>
      <c r="V57" s="140"/>
      <c r="W57" s="140">
        <f>if(E57="LX",if(and(G57&lt;$S$1,H57&gt;$T$1,M57&lt;&gt;1,M57&lt;&gt;"CT"),1,""),"")+if(E57="LX",if(and(G57&lt;$U$1,H57&gt;$V$1),1,""),"")</f>
        <v>0</v>
      </c>
      <c r="X57" s="142">
        <f>if(B57="","",(if($I$1-G57&gt;0,$I$1-G57,0)+if(H57-$N$1&gt;0,H57-$N$1,0))*24/8)</f>
        <v>1</v>
      </c>
      <c r="Y57" s="143"/>
    </row>
    <row r="58">
      <c r="A58" s="135">
        <v>49.0</v>
      </c>
      <c r="B58" s="135" t="s">
        <v>187</v>
      </c>
      <c r="C58" s="135" t="s">
        <v>61</v>
      </c>
      <c r="D58" s="136">
        <v>44681.0</v>
      </c>
      <c r="E58" s="135" t="str">
        <f>IFERROR(VLOOKUP(C58,'Công T5'!$C$7:$F$89,4,0),"")</f>
        <v>ĐT</v>
      </c>
      <c r="F58" s="137">
        <f>IFERROR(__xludf.DUMMYFUNCTION("INDEX(FILTER('Công T5'!$B$8:$C$89,'Công T5'!$C$8:$C$89=C58),1,1)"),10407.0)</f>
        <v>10407</v>
      </c>
      <c r="G58" s="138"/>
      <c r="H58" s="138"/>
      <c r="I58" s="138"/>
      <c r="J58" s="138"/>
      <c r="K58" s="139"/>
      <c r="L58" s="139"/>
      <c r="M58" s="139" t="s">
        <v>43</v>
      </c>
      <c r="N58" s="140"/>
      <c r="O58" s="140"/>
      <c r="P58" s="140"/>
      <c r="Q58" s="140"/>
      <c r="R58" s="140"/>
      <c r="S58" s="141"/>
      <c r="T58" s="140"/>
      <c r="U58" s="140"/>
      <c r="V58" s="140"/>
      <c r="W58" s="140"/>
      <c r="X58" s="142"/>
      <c r="Y58" s="143"/>
    </row>
    <row r="59">
      <c r="A59" s="135">
        <v>50.0</v>
      </c>
      <c r="B59" s="135" t="s">
        <v>187</v>
      </c>
      <c r="C59" s="135" t="s">
        <v>61</v>
      </c>
      <c r="D59" s="136">
        <v>44682.0</v>
      </c>
      <c r="E59" s="135" t="str">
        <f>IFERROR(VLOOKUP(C59,'Công T5'!$C$7:$F$89,4,0),"")</f>
        <v>ĐT</v>
      </c>
      <c r="F59" s="137">
        <f>IFERROR(__xludf.DUMMYFUNCTION("INDEX(FILTER('Công T5'!$B$8:$C$89,'Công T5'!$C$8:$C$89=C59),1,1)"),10407.0)</f>
        <v>10407</v>
      </c>
      <c r="G59" s="138"/>
      <c r="H59" s="138"/>
      <c r="I59" s="138"/>
      <c r="J59" s="138"/>
      <c r="K59" s="139"/>
      <c r="L59" s="139"/>
      <c r="M59" s="139" t="s">
        <v>43</v>
      </c>
      <c r="N59" s="140"/>
      <c r="O59" s="140"/>
      <c r="P59" s="140"/>
      <c r="Q59" s="140"/>
      <c r="R59" s="140"/>
      <c r="S59" s="141"/>
      <c r="T59" s="140"/>
      <c r="U59" s="140"/>
      <c r="V59" s="140"/>
      <c r="W59" s="140"/>
      <c r="X59" s="142"/>
      <c r="Y59" s="143"/>
    </row>
    <row r="60">
      <c r="A60" s="135">
        <v>51.0</v>
      </c>
      <c r="B60" s="135" t="s">
        <v>187</v>
      </c>
      <c r="C60" s="135" t="s">
        <v>54</v>
      </c>
      <c r="D60" s="136">
        <v>44681.0</v>
      </c>
      <c r="E60" s="135" t="str">
        <f>IFERROR(VLOOKUP(C60,'Công T5'!$C$7:$F$89,4,0),"")</f>
        <v>ĐT</v>
      </c>
      <c r="F60" s="137">
        <f>IFERROR(__xludf.DUMMYFUNCTION("INDEX(FILTER('Công T5'!$B$8:$C$89,'Công T5'!$C$8:$C$89=C60),1,1)"),10033.0)</f>
        <v>10033</v>
      </c>
      <c r="G60" s="138"/>
      <c r="H60" s="138"/>
      <c r="I60" s="138"/>
      <c r="J60" s="138"/>
      <c r="K60" s="139"/>
      <c r="L60" s="139"/>
      <c r="M60" s="139" t="s">
        <v>43</v>
      </c>
      <c r="N60" s="140"/>
      <c r="O60" s="140"/>
      <c r="P60" s="140"/>
      <c r="Q60" s="140"/>
      <c r="R60" s="140"/>
      <c r="S60" s="141"/>
      <c r="T60" s="140"/>
      <c r="U60" s="140"/>
      <c r="V60" s="140"/>
      <c r="W60" s="140"/>
      <c r="X60" s="142"/>
      <c r="Y60" s="143"/>
    </row>
    <row r="61">
      <c r="A61" s="135">
        <v>52.0</v>
      </c>
      <c r="B61" s="135" t="s">
        <v>187</v>
      </c>
      <c r="C61" s="135" t="s">
        <v>54</v>
      </c>
      <c r="D61" s="136">
        <v>44682.0</v>
      </c>
      <c r="E61" s="135" t="str">
        <f>IFERROR(VLOOKUP(C61,'Công T5'!$C$7:$F$89,4,0),"")</f>
        <v>ĐT</v>
      </c>
      <c r="F61" s="137">
        <f>IFERROR(__xludf.DUMMYFUNCTION("INDEX(FILTER('Công T5'!$B$8:$C$89,'Công T5'!$C$8:$C$89=C61),1,1)"),10033.0)</f>
        <v>10033</v>
      </c>
      <c r="G61" s="138"/>
      <c r="H61" s="138"/>
      <c r="I61" s="138"/>
      <c r="J61" s="138"/>
      <c r="K61" s="139"/>
      <c r="L61" s="139"/>
      <c r="M61" s="139" t="s">
        <v>43</v>
      </c>
      <c r="N61" s="140"/>
      <c r="O61" s="140"/>
      <c r="P61" s="140"/>
      <c r="Q61" s="140"/>
      <c r="R61" s="140"/>
      <c r="S61" s="141"/>
      <c r="T61" s="140"/>
      <c r="U61" s="140"/>
      <c r="V61" s="140"/>
      <c r="W61" s="140"/>
      <c r="X61" s="142"/>
      <c r="Y61" s="143"/>
    </row>
    <row r="62">
      <c r="A62" s="135">
        <v>53.0</v>
      </c>
      <c r="B62" s="135" t="s">
        <v>187</v>
      </c>
      <c r="C62" s="135" t="s">
        <v>55</v>
      </c>
      <c r="D62" s="136">
        <v>44681.0</v>
      </c>
      <c r="E62" s="135" t="str">
        <f>IFERROR(VLOOKUP(C62,'Công T5'!$C$7:$F$89,4,0),"")</f>
        <v>ĐT</v>
      </c>
      <c r="F62" s="137">
        <f>IFERROR(__xludf.DUMMYFUNCTION("INDEX(FILTER('Công T5'!$B$8:$C$89,'Công T5'!$C$8:$C$89=C62),1,1)"),10044.0)</f>
        <v>10044</v>
      </c>
      <c r="G62" s="138"/>
      <c r="H62" s="138"/>
      <c r="I62" s="138"/>
      <c r="J62" s="138"/>
      <c r="K62" s="139"/>
      <c r="L62" s="139"/>
      <c r="M62" s="139" t="s">
        <v>43</v>
      </c>
      <c r="N62" s="140"/>
      <c r="O62" s="140"/>
      <c r="P62" s="140"/>
      <c r="Q62" s="140"/>
      <c r="R62" s="140"/>
      <c r="S62" s="141"/>
      <c r="T62" s="140"/>
      <c r="U62" s="140"/>
      <c r="V62" s="140"/>
      <c r="W62" s="140"/>
      <c r="X62" s="142"/>
      <c r="Y62" s="143"/>
    </row>
    <row r="63">
      <c r="A63" s="135">
        <v>54.0</v>
      </c>
      <c r="B63" s="135" t="s">
        <v>187</v>
      </c>
      <c r="C63" s="135" t="s">
        <v>55</v>
      </c>
      <c r="D63" s="136">
        <v>44682.0</v>
      </c>
      <c r="E63" s="135" t="str">
        <f>IFERROR(VLOOKUP(C63,'Công T5'!$C$7:$F$89,4,0),"")</f>
        <v>ĐT</v>
      </c>
      <c r="F63" s="137">
        <f>IFERROR(__xludf.DUMMYFUNCTION("INDEX(FILTER('Công T5'!$B$8:$C$89,'Công T5'!$C$8:$C$89=C63),1,1)"),10044.0)</f>
        <v>10044</v>
      </c>
      <c r="G63" s="138"/>
      <c r="H63" s="138"/>
      <c r="I63" s="138"/>
      <c r="J63" s="138"/>
      <c r="K63" s="139"/>
      <c r="L63" s="139"/>
      <c r="M63" s="139" t="s">
        <v>43</v>
      </c>
      <c r="N63" s="140"/>
      <c r="O63" s="140"/>
      <c r="P63" s="140"/>
      <c r="Q63" s="140"/>
      <c r="R63" s="140"/>
      <c r="S63" s="141"/>
      <c r="T63" s="140"/>
      <c r="U63" s="140"/>
      <c r="V63" s="140"/>
      <c r="W63" s="140"/>
      <c r="X63" s="142"/>
      <c r="Y63" s="143"/>
    </row>
    <row r="64">
      <c r="A64" s="135">
        <v>55.0</v>
      </c>
      <c r="B64" s="135" t="s">
        <v>203</v>
      </c>
      <c r="C64" s="135" t="s">
        <v>55</v>
      </c>
      <c r="D64" s="136">
        <v>44691.0</v>
      </c>
      <c r="E64" s="135" t="str">
        <f>IFERROR(VLOOKUP(C64,'Công T5'!$C$7:$F$89,4,0),"")</f>
        <v>ĐT</v>
      </c>
      <c r="F64" s="137">
        <f>IFERROR(__xludf.DUMMYFUNCTION("INDEX(FILTER('Công T5'!$B$8:$C$89,'Công T5'!$C$8:$C$89=C64),1,1)"),10044.0)</f>
        <v>10044</v>
      </c>
      <c r="G64" s="138">
        <f>IFERROR(__xludf.DUMMYFUNCTION("IFERROR(INDEX(FILTER('Vân tay'!$A$5:$O330,'Vân tay'!$C$5:$C330=F64,'Vân tay'!$B$5:$B330=D64),1,10),"""")"),0.3284722222222222)</f>
        <v>0.3284722222</v>
      </c>
      <c r="H64" s="138">
        <f>IFERROR(__xludf.DUMMYFUNCTION("IFERROR(INDEX(FILTER('Vân tay'!$A$5:$O330,'Vân tay'!$C$5:$C330=F64,'Vân tay'!$B$5:$B330=D64),1,11),"""")"),0.5006944444444444)</f>
        <v>0.5006944444</v>
      </c>
      <c r="I64" s="138">
        <f>IFERROR(__xludf.DUMMYFUNCTION("IFERROR(INDEX(FILTER('Vân tay'!$A$5:$O330,'Vân tay'!$C$5:$C330=F64,'Vân tay'!$B$5:$B330=D64),1,14),"""")"),0.3333333333333333)</f>
        <v>0.3333333333</v>
      </c>
      <c r="J64" s="138">
        <f>IFERROR(__xludf.DUMMYFUNCTION("IFERROR(INDEX(FILTER('Vân tay'!$A$5:$O330,'Vân tay'!$C$5:$C330=F64,'Vân tay'!$B$5:$B330=D64),1,15),"""")"),0.5)</f>
        <v>0.5</v>
      </c>
      <c r="K64" s="139">
        <f>if(B64="","",if(J64&lt;&gt;"",if(I64&lt;$L$1,if(J64&lt;$L$1,J64-I64,$L$1-I64),0),"")*24/8)</f>
        <v>0.5</v>
      </c>
      <c r="L64" s="139" t="str">
        <f>if(I64="","",if(J64="","",if(J64&gt;$M$1,if(I64&lt;$M$1,J64-$M$1,J64-I64)*24/8,"")))</f>
        <v/>
      </c>
      <c r="M64" s="139">
        <f>if(B64="","",if(J64="",0.5,if(E64="NL",1,(K64+L64))))</f>
        <v>0.5</v>
      </c>
      <c r="N64" s="140">
        <f>if(G64&lt;&gt;"",if(G64&gt;$I$1,1,0),"")</f>
        <v>0</v>
      </c>
      <c r="O64" s="140">
        <f>if(B64&lt;&gt;"",if(OR(J64="",M64=""),1,0),"")</f>
        <v>0</v>
      </c>
      <c r="P64" s="140">
        <f>if(Y64="làm thêm ngày thường",X64,if(Y64="làm thêm T7, CN",M64,0))</f>
        <v>0</v>
      </c>
      <c r="Q64" s="140">
        <f>if(or(D64='Công T5'!$B$97,D64='Công T5'!$B$98,D64='Công T5'!$B$99,D64='Công T5'!$B$100,D64='Công T5'!$B$101),if(M64="CT",1,if(M64="C/2",0.5,M64)),0)</f>
        <v>0</v>
      </c>
      <c r="R64" s="140">
        <f>if(and(or(WEEKDAY(D64,3)&lt;5,D64=$E$1,D64=$F$1,D64=$G$1),G64&lt;$Q$1,G64&lt;&gt;""),1,0)+if(and(or(WEEKDAY(D64,3)&lt;5,D64=$E$1,D64=$F$1,D64=$G$1),H64&gt;$R$1,H64&lt;&gt;""),1,0)</f>
        <v>0</v>
      </c>
      <c r="S64" s="141">
        <f>if(and(WEEKDAY(D64,3)&gt;4,D64&lt;&gt;$E$1,D64&lt;&gt;$F$1,D64&lt;&gt;$G$1,G64&lt;$Q$1,G64&lt;&gt;""),1,0)+if(and(WEEKDAY(D64,3)&gt;4,D64&lt;&gt;$E$1,D64&lt;&gt;$F$1,D64&lt;&gt;$G$1,H64&gt;$R$1,H64&lt;&gt;""),1,0)</f>
        <v>0</v>
      </c>
      <c r="T64" s="140">
        <f>if(and(E64="ĐT",H64&lt;&gt;"",H64&gt;$R$1),1,0)</f>
        <v>0</v>
      </c>
      <c r="U64" s="140"/>
      <c r="V64" s="140"/>
      <c r="W64" s="140">
        <f>if(E64="LX",if(and(G64&lt;$S$1,H64&gt;$T$1,M64&lt;&gt;1,M64&lt;&gt;"CT"),1,""),"")+if(E64="LX",if(and(G64&lt;$U$1,H64&gt;$V$1),1,""),"")</f>
        <v>0</v>
      </c>
      <c r="X64" s="142">
        <f>if(B64="","",(if($I$1-G64&gt;0,$I$1-G64,0)+if(H64-$N$1&gt;0,H64-$N$1,0))*24/8)</f>
        <v>0.01458333333</v>
      </c>
      <c r="Y64" s="143"/>
    </row>
    <row r="65">
      <c r="A65" s="135">
        <v>56.0</v>
      </c>
      <c r="B65" s="135" t="s">
        <v>187</v>
      </c>
      <c r="C65" s="135" t="s">
        <v>58</v>
      </c>
      <c r="D65" s="136">
        <v>44681.0</v>
      </c>
      <c r="E65" s="135" t="str">
        <f>IFERROR(VLOOKUP(C65,'Công T5'!$C$7:$F$89,4,0),"")</f>
        <v>ĐT</v>
      </c>
      <c r="F65" s="137">
        <f>IFERROR(__xludf.DUMMYFUNCTION("INDEX(FILTER('Công T5'!$B$8:$C$89,'Công T5'!$C$8:$C$89=C65),1,1)"),10404.0)</f>
        <v>10404</v>
      </c>
      <c r="G65" s="138"/>
      <c r="H65" s="138"/>
      <c r="I65" s="138"/>
      <c r="J65" s="138"/>
      <c r="K65" s="139"/>
      <c r="L65" s="139"/>
      <c r="M65" s="139" t="s">
        <v>43</v>
      </c>
      <c r="N65" s="140"/>
      <c r="O65" s="140"/>
      <c r="P65" s="140"/>
      <c r="Q65" s="140"/>
      <c r="R65" s="140"/>
      <c r="S65" s="141"/>
      <c r="T65" s="140"/>
      <c r="U65" s="140"/>
      <c r="V65" s="140"/>
      <c r="W65" s="140"/>
      <c r="X65" s="142"/>
      <c r="Y65" s="143"/>
    </row>
    <row r="66">
      <c r="A66" s="135">
        <v>57.0</v>
      </c>
      <c r="B66" s="135" t="s">
        <v>187</v>
      </c>
      <c r="C66" s="135" t="s">
        <v>58</v>
      </c>
      <c r="D66" s="136">
        <v>44682.0</v>
      </c>
      <c r="E66" s="135" t="str">
        <f>IFERROR(VLOOKUP(C66,'Công T5'!$C$7:$F$89,4,0),"")</f>
        <v>ĐT</v>
      </c>
      <c r="F66" s="137">
        <f>IFERROR(__xludf.DUMMYFUNCTION("INDEX(FILTER('Công T5'!$B$8:$C$89,'Công T5'!$C$8:$C$89=C66),1,1)"),10404.0)</f>
        <v>10404</v>
      </c>
      <c r="G66" s="138"/>
      <c r="H66" s="138"/>
      <c r="I66" s="138"/>
      <c r="J66" s="138"/>
      <c r="K66" s="139"/>
      <c r="L66" s="139"/>
      <c r="M66" s="139" t="s">
        <v>43</v>
      </c>
      <c r="N66" s="140"/>
      <c r="O66" s="140"/>
      <c r="P66" s="140"/>
      <c r="Q66" s="140"/>
      <c r="R66" s="140"/>
      <c r="S66" s="141"/>
      <c r="T66" s="140"/>
      <c r="U66" s="140"/>
      <c r="V66" s="140"/>
      <c r="W66" s="140"/>
      <c r="X66" s="142"/>
      <c r="Y66" s="143"/>
    </row>
    <row r="67">
      <c r="A67" s="135">
        <v>58.0</v>
      </c>
      <c r="B67" s="135" t="s">
        <v>65</v>
      </c>
      <c r="C67" s="135" t="s">
        <v>65</v>
      </c>
      <c r="D67" s="136">
        <v>44678.0</v>
      </c>
      <c r="E67" s="135" t="str">
        <f>IFERROR(VLOOKUP(C67,'Công T5'!$C$7:$F$89,4,0),"")</f>
        <v>HCTH</v>
      </c>
      <c r="F67" s="137">
        <f>IFERROR(__xludf.DUMMYFUNCTION("INDEX(FILTER('Công T5'!$B$8:$C$89,'Công T5'!$C$8:$C$89=C67),1,1)"),10398.0)</f>
        <v>10398</v>
      </c>
      <c r="G67" s="138">
        <f>IFERROR(__xludf.DUMMYFUNCTION("IFERROR(INDEX(FILTER('Vân tay'!$A$5:$O330,'Vân tay'!$C$5:$C330=F67,'Vân tay'!$B$5:$B330=D67),1,10),"""")"),0.3402777777777778)</f>
        <v>0.3402777778</v>
      </c>
      <c r="H67" s="138" t="str">
        <f>IFERROR(__xludf.DUMMYFUNCTION("IFERROR(INDEX(FILTER('Vân tay'!$A$5:$O330,'Vân tay'!$C$5:$C330=F67,'Vân tay'!$B$5:$B330=D67),1,11),"""")"),"")</f>
        <v/>
      </c>
      <c r="I67" s="138">
        <f>IFERROR(__xludf.DUMMYFUNCTION("IFERROR(INDEX(FILTER('Vân tay'!$A$5:$O330,'Vân tay'!$C$5:$C330=F67,'Vân tay'!$B$5:$B330=D67),1,14),"""")"),0.3333333333333333)</f>
        <v>0.3333333333</v>
      </c>
      <c r="J67" s="138" t="str">
        <f>IFERROR(__xludf.DUMMYFUNCTION("IFERROR(INDEX(FILTER('Vân tay'!$A$5:$O330,'Vân tay'!$C$5:$C330=F67,'Vân tay'!$B$5:$B330=D67),1,15),"""")"),"")</f>
        <v/>
      </c>
      <c r="K67" s="139">
        <f t="shared" ref="K67:K70" si="76">if(B67="","",if(J67&lt;&gt;"",if(I67&lt;$L$1,if(J67&lt;$L$1,J67-I67,$L$1-I67),0),"")*24/8)</f>
        <v>0</v>
      </c>
      <c r="L67" s="139" t="str">
        <f t="shared" ref="L67:L70" si="77">if(I67="","",if(J67="","",if(J67&gt;$M$1,if(I67&lt;$M$1,J67-$M$1,J67-I67)*24/8,"")))</f>
        <v/>
      </c>
      <c r="M67" s="139">
        <v>1.0</v>
      </c>
      <c r="N67" s="140"/>
      <c r="O67" s="140"/>
      <c r="P67" s="140">
        <f t="shared" ref="P67:P70" si="78">if(Y67="làm thêm ngày thường",X67,if(Y67="làm thêm T7, CN",M67,0))</f>
        <v>0</v>
      </c>
      <c r="Q67" s="140">
        <f>if(or(D67='Công T5'!$B$97,D67='Công T5'!$B$98,D67='Công T5'!$B$99,D67='Công T5'!$B$100,D67='Công T5'!$B$101),if(M67="CT",1,if(M67="C/2",0.5,M67)),0)</f>
        <v>0</v>
      </c>
      <c r="R67" s="140">
        <f t="shared" ref="R67:R70" si="79">if(and(or(WEEKDAY(D67,3)&lt;5,D67=$E$1,D67=$F$1,D67=$G$1),G67&lt;$Q$1,G67&lt;&gt;""),1,0)+if(and(or(WEEKDAY(D67,3)&lt;5,D67=$E$1,D67=$F$1,D67=$G$1),H67&gt;$R$1,H67&lt;&gt;""),1,0)</f>
        <v>0</v>
      </c>
      <c r="S67" s="141">
        <f t="shared" ref="S67:S70" si="80">if(and(WEEKDAY(D67,3)&gt;4,D67&lt;&gt;$E$1,D67&lt;&gt;$F$1,D67&lt;&gt;$G$1,G67&lt;$Q$1,G67&lt;&gt;""),1,0)+if(and(WEEKDAY(D67,3)&gt;4,D67&lt;&gt;$E$1,D67&lt;&gt;$F$1,D67&lt;&gt;$G$1,H67&gt;$R$1,H67&lt;&gt;""),1,0)</f>
        <v>0</v>
      </c>
      <c r="T67" s="140">
        <f t="shared" ref="T67:T70" si="81">if(and(E67="ĐT",H67&lt;&gt;"",H67&gt;$R$1),1,0)</f>
        <v>0</v>
      </c>
      <c r="U67" s="140"/>
      <c r="V67" s="140"/>
      <c r="W67" s="140">
        <f t="shared" ref="W67:W70" si="82">if(E67="LX",if(and(G67&lt;$S$1,H67&gt;$T$1,M67&lt;&gt;1,M67&lt;&gt;"CT"),1,""),"")+if(E67="LX",if(and(G67&lt;$U$1,H67&gt;$V$1),1,""),"")</f>
        <v>0</v>
      </c>
      <c r="X67" s="142">
        <f t="shared" ref="X67:X70" si="83">if(B67="","",(if($I$1-G67&gt;0,$I$1-G67,0)+if(H67-$N$1&gt;0,H67-$N$1,0))*24/8)</f>
        <v>0</v>
      </c>
      <c r="Y67" s="143"/>
    </row>
    <row r="68">
      <c r="A68" s="135">
        <v>59.0</v>
      </c>
      <c r="B68" s="135" t="s">
        <v>65</v>
      </c>
      <c r="C68" s="135" t="s">
        <v>65</v>
      </c>
      <c r="D68" s="136">
        <v>44694.0</v>
      </c>
      <c r="E68" s="135" t="str">
        <f>IFERROR(VLOOKUP(C68,'Công T5'!$C$7:$F$89,4,0),"")</f>
        <v>HCTH</v>
      </c>
      <c r="F68" s="137">
        <f>IFERROR(__xludf.DUMMYFUNCTION("INDEX(FILTER('Công T5'!$B$8:$C$89,'Công T5'!$C$8:$C$89=C68),1,1)"),10398.0)</f>
        <v>10398</v>
      </c>
      <c r="G68" s="138">
        <f>IFERROR(__xludf.DUMMYFUNCTION("IFERROR(INDEX(FILTER('Vân tay'!$A$5:$O330,'Vân tay'!$C$5:$C330=F68,'Vân tay'!$B$5:$B330=D68),1,10),"""")"),0.33402777777777776)</f>
        <v>0.3340277778</v>
      </c>
      <c r="H68" s="138">
        <f>IFERROR(__xludf.DUMMYFUNCTION("IFERROR(INDEX(FILTER('Vân tay'!$A$5:$O330,'Vân tay'!$C$5:$C330=F68,'Vân tay'!$B$5:$B330=D68),1,11),"""")"),0.7229166666666667)</f>
        <v>0.7229166667</v>
      </c>
      <c r="I68" s="138">
        <f>IFERROR(__xludf.DUMMYFUNCTION("IFERROR(INDEX(FILTER('Vân tay'!$A$5:$O330,'Vân tay'!$C$5:$C330=F68,'Vân tay'!$B$5:$B330=D68),1,14),"""")"),0.3333333333333333)</f>
        <v>0.3333333333</v>
      </c>
      <c r="J68" s="138">
        <f>IFERROR(__xludf.DUMMYFUNCTION("IFERROR(INDEX(FILTER('Vân tay'!$A$5:$O330,'Vân tay'!$C$5:$C330=F68,'Vân tay'!$B$5:$B330=D68),1,15),"""")"),0.7083333333333334)</f>
        <v>0.7083333333</v>
      </c>
      <c r="K68" s="139">
        <f t="shared" si="76"/>
        <v>0.5</v>
      </c>
      <c r="L68" s="139">
        <f t="shared" si="77"/>
        <v>0.5</v>
      </c>
      <c r="M68" s="139">
        <v>1.0</v>
      </c>
      <c r="N68" s="140"/>
      <c r="O68" s="140"/>
      <c r="P68" s="140">
        <f t="shared" si="78"/>
        <v>0</v>
      </c>
      <c r="Q68" s="140">
        <f>if(or(D68='Công T5'!$B$97,D68='Công T5'!$B$98,D68='Công T5'!$B$99,D68='Công T5'!$B$100,D68='Công T5'!$B$101),if(M68="CT",1,if(M68="C/2",0.5,M68)),0)</f>
        <v>0</v>
      </c>
      <c r="R68" s="140">
        <f t="shared" si="79"/>
        <v>0</v>
      </c>
      <c r="S68" s="141">
        <f t="shared" si="80"/>
        <v>0</v>
      </c>
      <c r="T68" s="140">
        <f t="shared" si="81"/>
        <v>0</v>
      </c>
      <c r="U68" s="140"/>
      <c r="V68" s="140"/>
      <c r="W68" s="140">
        <f t="shared" si="82"/>
        <v>0</v>
      </c>
      <c r="X68" s="142">
        <f t="shared" si="83"/>
        <v>0.04375</v>
      </c>
      <c r="Y68" s="143"/>
    </row>
    <row r="69">
      <c r="A69" s="135">
        <v>60.0</v>
      </c>
      <c r="B69" s="135" t="s">
        <v>65</v>
      </c>
      <c r="C69" s="135" t="s">
        <v>65</v>
      </c>
      <c r="D69" s="136">
        <v>44697.0</v>
      </c>
      <c r="E69" s="135" t="str">
        <f>IFERROR(VLOOKUP(C69,'Công T5'!$C$7:$F$89,4,0),"")</f>
        <v>HCTH</v>
      </c>
      <c r="F69" s="137">
        <f>IFERROR(__xludf.DUMMYFUNCTION("INDEX(FILTER('Công T5'!$B$8:$C$89,'Công T5'!$C$8:$C$89=C69),1,1)"),10398.0)</f>
        <v>10398</v>
      </c>
      <c r="G69" s="138">
        <f>IFERROR(__xludf.DUMMYFUNCTION("IFERROR(INDEX(FILTER('Vân tay'!$A$5:$O330,'Vân tay'!$C$5:$C330=F69,'Vân tay'!$B$5:$B330=D69),1,10),"""")"),0.33402777777777776)</f>
        <v>0.3340277778</v>
      </c>
      <c r="H69" s="138">
        <f>IFERROR(__xludf.DUMMYFUNCTION("IFERROR(INDEX(FILTER('Vân tay'!$A$5:$O330,'Vân tay'!$C$5:$C330=F69,'Vân tay'!$B$5:$B330=D69),1,11),"""")"),0.725)</f>
        <v>0.725</v>
      </c>
      <c r="I69" s="138">
        <f>IFERROR(__xludf.DUMMYFUNCTION("IFERROR(INDEX(FILTER('Vân tay'!$A$5:$O330,'Vân tay'!$C$5:$C330=F69,'Vân tay'!$B$5:$B330=D69),1,14),"""")"),0.3333333333333333)</f>
        <v>0.3333333333</v>
      </c>
      <c r="J69" s="138">
        <f>IFERROR(__xludf.DUMMYFUNCTION("IFERROR(INDEX(FILTER('Vân tay'!$A$5:$O330,'Vân tay'!$C$5:$C330=F69,'Vân tay'!$B$5:$B330=D69),1,15),"""")"),0.7083333333333334)</f>
        <v>0.7083333333</v>
      </c>
      <c r="K69" s="139">
        <f t="shared" si="76"/>
        <v>0.5</v>
      </c>
      <c r="L69" s="139">
        <f t="shared" si="77"/>
        <v>0.5</v>
      </c>
      <c r="M69" s="139">
        <v>1.0</v>
      </c>
      <c r="N69" s="140"/>
      <c r="O69" s="140"/>
      <c r="P69" s="140">
        <f t="shared" si="78"/>
        <v>0</v>
      </c>
      <c r="Q69" s="140">
        <f>if(or(D69='Công T5'!$B$97,D69='Công T5'!$B$98,D69='Công T5'!$B$99,D69='Công T5'!$B$100,D69='Công T5'!$B$101),if(M69="CT",1,if(M69="C/2",0.5,M69)),0)</f>
        <v>0</v>
      </c>
      <c r="R69" s="140">
        <f t="shared" si="79"/>
        <v>0</v>
      </c>
      <c r="S69" s="141">
        <f t="shared" si="80"/>
        <v>0</v>
      </c>
      <c r="T69" s="140">
        <f t="shared" si="81"/>
        <v>0</v>
      </c>
      <c r="U69" s="140"/>
      <c r="V69" s="140"/>
      <c r="W69" s="140">
        <f t="shared" si="82"/>
        <v>0</v>
      </c>
      <c r="X69" s="142">
        <f t="shared" si="83"/>
        <v>0.05</v>
      </c>
      <c r="Y69" s="143"/>
    </row>
    <row r="70">
      <c r="A70" s="135">
        <v>61.0</v>
      </c>
      <c r="B70" s="135" t="s">
        <v>65</v>
      </c>
      <c r="C70" s="135" t="s">
        <v>65</v>
      </c>
      <c r="D70" s="136">
        <v>44706.0</v>
      </c>
      <c r="E70" s="135" t="str">
        <f>IFERROR(VLOOKUP(C70,'Công T5'!$C$7:$F$89,4,0),"")</f>
        <v>HCTH</v>
      </c>
      <c r="F70" s="137">
        <f>IFERROR(__xludf.DUMMYFUNCTION("INDEX(FILTER('Công T5'!$B$8:$C$89,'Công T5'!$C$8:$C$89=C70),1,1)"),10398.0)</f>
        <v>10398</v>
      </c>
      <c r="G70" s="138">
        <f>IFERROR(__xludf.DUMMYFUNCTION("IFERROR(INDEX(FILTER('Vân tay'!$A$5:$O330,'Vân tay'!$C$5:$C330=F70,'Vân tay'!$B$5:$B330=D70),1,10),"""")"),0.33194444444444443)</f>
        <v>0.3319444444</v>
      </c>
      <c r="H70" s="138">
        <f>IFERROR(__xludf.DUMMYFUNCTION("IFERROR(INDEX(FILTER('Vân tay'!$A$5:$O330,'Vân tay'!$C$5:$C330=F70,'Vân tay'!$B$5:$B330=D70),1,11),"""")"),0.5451388888888888)</f>
        <v>0.5451388889</v>
      </c>
      <c r="I70" s="138">
        <f>IFERROR(__xludf.DUMMYFUNCTION("IFERROR(INDEX(FILTER('Vân tay'!$A$5:$O330,'Vân tay'!$C$5:$C330=F70,'Vân tay'!$B$5:$B330=D70),1,14),"""")"),0.3333333333333333)</f>
        <v>0.3333333333</v>
      </c>
      <c r="J70" s="138">
        <f>IFERROR(__xludf.DUMMYFUNCTION("IFERROR(INDEX(FILTER('Vân tay'!$A$5:$O330,'Vân tay'!$C$5:$C330=F70,'Vân tay'!$B$5:$B330=D70),1,15),"""")"),0.5451388888888888)</f>
        <v>0.5451388889</v>
      </c>
      <c r="K70" s="139">
        <f t="shared" si="76"/>
        <v>0.5</v>
      </c>
      <c r="L70" s="139">
        <f t="shared" si="77"/>
        <v>0.01041666667</v>
      </c>
      <c r="M70" s="139">
        <v>1.0</v>
      </c>
      <c r="N70" s="140"/>
      <c r="O70" s="140"/>
      <c r="P70" s="140">
        <f t="shared" si="78"/>
        <v>0</v>
      </c>
      <c r="Q70" s="140">
        <f>if(or(D70='Công T5'!$B$97,D70='Công T5'!$B$98,D70='Công T5'!$B$99,D70='Công T5'!$B$100,D70='Công T5'!$B$101),if(M70="CT",1,if(M70="C/2",0.5,M70)),0)</f>
        <v>0</v>
      </c>
      <c r="R70" s="140">
        <f t="shared" si="79"/>
        <v>0</v>
      </c>
      <c r="S70" s="141">
        <f t="shared" si="80"/>
        <v>0</v>
      </c>
      <c r="T70" s="140">
        <f t="shared" si="81"/>
        <v>0</v>
      </c>
      <c r="U70" s="140"/>
      <c r="V70" s="140"/>
      <c r="W70" s="140">
        <f t="shared" si="82"/>
        <v>0</v>
      </c>
      <c r="X70" s="142">
        <f t="shared" si="83"/>
        <v>0.004166666667</v>
      </c>
      <c r="Y70" s="143"/>
    </row>
    <row r="71">
      <c r="A71" s="135">
        <v>62.0</v>
      </c>
      <c r="B71" s="135" t="s">
        <v>187</v>
      </c>
      <c r="C71" s="135" t="s">
        <v>69</v>
      </c>
      <c r="D71" s="136">
        <v>44681.0</v>
      </c>
      <c r="E71" s="135" t="str">
        <f>IFERROR(VLOOKUP(C71,'Công T5'!$C$7:$F$89,4,0),"")</f>
        <v>HCTH</v>
      </c>
      <c r="F71" s="137">
        <f>IFERROR(__xludf.DUMMYFUNCTION("INDEX(FILTER('Công T5'!$B$8:$C$89,'Công T5'!$C$8:$C$89=C71),1,1)"),10405.0)</f>
        <v>10405</v>
      </c>
      <c r="G71" s="138"/>
      <c r="H71" s="138"/>
      <c r="I71" s="138"/>
      <c r="J71" s="138"/>
      <c r="K71" s="139"/>
      <c r="L71" s="139"/>
      <c r="M71" s="139" t="s">
        <v>43</v>
      </c>
      <c r="N71" s="140"/>
      <c r="O71" s="140"/>
      <c r="P71" s="140"/>
      <c r="Q71" s="140"/>
      <c r="R71" s="140"/>
      <c r="S71" s="141"/>
      <c r="T71" s="140"/>
      <c r="U71" s="140"/>
      <c r="V71" s="140"/>
      <c r="W71" s="140"/>
      <c r="X71" s="142"/>
      <c r="Y71" s="143"/>
    </row>
    <row r="72">
      <c r="A72" s="135">
        <v>63.0</v>
      </c>
      <c r="B72" s="135" t="s">
        <v>187</v>
      </c>
      <c r="C72" s="135" t="s">
        <v>69</v>
      </c>
      <c r="D72" s="136">
        <v>44682.0</v>
      </c>
      <c r="E72" s="135" t="str">
        <f>IFERROR(VLOOKUP(C72,'Công T5'!$C$7:$F$89,4,0),"")</f>
        <v>HCTH</v>
      </c>
      <c r="F72" s="137">
        <f>IFERROR(__xludf.DUMMYFUNCTION("INDEX(FILTER('Công T5'!$B$8:$C$89,'Công T5'!$C$8:$C$89=C72),1,1)"),10405.0)</f>
        <v>10405</v>
      </c>
      <c r="G72" s="138"/>
      <c r="H72" s="138"/>
      <c r="I72" s="138"/>
      <c r="J72" s="138"/>
      <c r="K72" s="139"/>
      <c r="L72" s="139"/>
      <c r="M72" s="139" t="s">
        <v>43</v>
      </c>
      <c r="N72" s="140"/>
      <c r="O72" s="140"/>
      <c r="P72" s="140"/>
      <c r="Q72" s="140"/>
      <c r="R72" s="140"/>
      <c r="S72" s="141"/>
      <c r="T72" s="140"/>
      <c r="U72" s="140"/>
      <c r="V72" s="140"/>
      <c r="W72" s="140"/>
      <c r="X72" s="142"/>
      <c r="Y72" s="143"/>
    </row>
    <row r="73">
      <c r="A73" s="135">
        <v>64.0</v>
      </c>
      <c r="B73" s="135" t="s">
        <v>187</v>
      </c>
      <c r="C73" s="135" t="s">
        <v>67</v>
      </c>
      <c r="D73" s="136">
        <v>44681.0</v>
      </c>
      <c r="E73" s="135" t="str">
        <f>IFERROR(VLOOKUP(C73,'Công T5'!$C$7:$F$89,4,0),"")</f>
        <v>HCTH</v>
      </c>
      <c r="F73" s="137">
        <f>IFERROR(__xludf.DUMMYFUNCTION("INDEX(FILTER('Công T5'!$B$8:$C$89,'Công T5'!$C$8:$C$89=C73),1,1)"),10139.0)</f>
        <v>10139</v>
      </c>
      <c r="G73" s="138"/>
      <c r="H73" s="138"/>
      <c r="I73" s="138"/>
      <c r="J73" s="138"/>
      <c r="K73" s="139"/>
      <c r="L73" s="139"/>
      <c r="M73" s="139" t="s">
        <v>43</v>
      </c>
      <c r="N73" s="140"/>
      <c r="O73" s="140"/>
      <c r="P73" s="140"/>
      <c r="Q73" s="140"/>
      <c r="R73" s="140"/>
      <c r="S73" s="141"/>
      <c r="T73" s="140"/>
      <c r="U73" s="140"/>
      <c r="V73" s="140"/>
      <c r="W73" s="140"/>
      <c r="X73" s="142"/>
      <c r="Y73" s="143"/>
    </row>
    <row r="74">
      <c r="A74" s="135">
        <v>65.0</v>
      </c>
      <c r="B74" s="135" t="s">
        <v>187</v>
      </c>
      <c r="C74" s="135" t="s">
        <v>67</v>
      </c>
      <c r="D74" s="136">
        <v>44682.0</v>
      </c>
      <c r="E74" s="135" t="str">
        <f>IFERROR(VLOOKUP(C74,'Công T5'!$C$7:$F$89,4,0),"")</f>
        <v>HCTH</v>
      </c>
      <c r="F74" s="137">
        <f>IFERROR(__xludf.DUMMYFUNCTION("INDEX(FILTER('Công T5'!$B$8:$C$89,'Công T5'!$C$8:$C$89=C74),1,1)"),10139.0)</f>
        <v>10139</v>
      </c>
      <c r="G74" s="138"/>
      <c r="H74" s="138"/>
      <c r="I74" s="138"/>
      <c r="J74" s="138"/>
      <c r="K74" s="139"/>
      <c r="L74" s="139"/>
      <c r="M74" s="139" t="s">
        <v>43</v>
      </c>
      <c r="N74" s="140"/>
      <c r="O74" s="140"/>
      <c r="P74" s="140"/>
      <c r="Q74" s="140"/>
      <c r="R74" s="140"/>
      <c r="S74" s="141"/>
      <c r="T74" s="140"/>
      <c r="U74" s="140"/>
      <c r="V74" s="140"/>
      <c r="W74" s="140"/>
      <c r="X74" s="142"/>
      <c r="Y74" s="143"/>
    </row>
    <row r="75">
      <c r="A75" s="135">
        <v>66.0</v>
      </c>
      <c r="B75" s="135" t="s">
        <v>204</v>
      </c>
      <c r="C75" s="135" t="s">
        <v>67</v>
      </c>
      <c r="D75" s="136">
        <v>44693.0</v>
      </c>
      <c r="E75" s="135" t="str">
        <f>IFERROR(VLOOKUP(C75,'Công T5'!$C$7:$F$89,4,0),"")</f>
        <v>HCTH</v>
      </c>
      <c r="F75" s="137">
        <f>IFERROR(__xludf.DUMMYFUNCTION("INDEX(FILTER('Công T5'!$B$8:$C$89,'Công T5'!$C$8:$C$89=C75),1,1)"),10139.0)</f>
        <v>10139</v>
      </c>
      <c r="G75" s="138">
        <f>IFERROR(__xludf.DUMMYFUNCTION("IFERROR(INDEX(FILTER('Vân tay'!$A$5:$O330,'Vân tay'!$C$5:$C330=F75,'Vân tay'!$B$5:$B330=D75),1,10),"""")"),0.23680555555555555)</f>
        <v>0.2368055556</v>
      </c>
      <c r="H75" s="138">
        <f>IFERROR(__xludf.DUMMYFUNCTION("IFERROR(INDEX(FILTER('Vân tay'!$A$5:$O330,'Vân tay'!$C$5:$C330=F75,'Vân tay'!$B$5:$B330=D75),1,11),"""")"),0.8201388888888889)</f>
        <v>0.8201388889</v>
      </c>
      <c r="I75" s="138">
        <f>IFERROR(__xludf.DUMMYFUNCTION("IFERROR(INDEX(FILTER('Vân tay'!$A$5:$O330,'Vân tay'!$C$5:$C330=F75,'Vân tay'!$B$5:$B330=D75),1,14),"""")"),0.3333333333333333)</f>
        <v>0.3333333333</v>
      </c>
      <c r="J75" s="138">
        <f>IFERROR(__xludf.DUMMYFUNCTION("IFERROR(INDEX(FILTER('Vân tay'!$A$5:$O330,'Vân tay'!$C$5:$C330=F75,'Vân tay'!$B$5:$B330=D75),1,15),"""")"),0.7083333333333334)</f>
        <v>0.7083333333</v>
      </c>
      <c r="K75" s="139">
        <f t="shared" ref="K75:K77" si="84">if(B75="","",if(J75&lt;&gt;"",if(I75&lt;$L$1,if(J75&lt;$L$1,J75-I75,$L$1-I75),0),"")*24/8)</f>
        <v>0.5</v>
      </c>
      <c r="L75" s="139">
        <f t="shared" ref="L75:L77" si="85">if(I75="","",if(J75="","",if(J75&gt;$M$1,if(I75&lt;$M$1,J75-$M$1,J75-I75)*24/8,"")))</f>
        <v>0.5</v>
      </c>
      <c r="M75" s="139">
        <v>1.0</v>
      </c>
      <c r="N75" s="140">
        <f t="shared" ref="N75:N76" si="86">if(G75&lt;&gt;"",if(G75&gt;$I$1,1,0),"")</f>
        <v>0</v>
      </c>
      <c r="O75" s="140">
        <f>if(B75&lt;&gt;"",if(OR(J75="",M75=""),1,0),"")</f>
        <v>0</v>
      </c>
      <c r="P75" s="140"/>
      <c r="Q75" s="140">
        <f>if(or(D75='Công T5'!$B$97,D75='Công T5'!$B$98,D75='Công T5'!$B$99,D75='Công T5'!$B$100,D75='Công T5'!$B$101),if(M75="CT",1,if(M75="C/2",0.5,M75)),0)</f>
        <v>0</v>
      </c>
      <c r="R75" s="140">
        <f t="shared" ref="R75:R77" si="87">if(and(or(WEEKDAY(D75,3)&lt;5,D75=$E$1,D75=$F$1,D75=$G$1),G75&lt;$Q$1,G75&lt;&gt;""),1,0)+if(and(or(WEEKDAY(D75,3)&lt;5,D75=$E$1,D75=$F$1,D75=$G$1),H75&gt;$R$1,H75&lt;&gt;""),1,0)</f>
        <v>0</v>
      </c>
      <c r="S75" s="141">
        <f t="shared" ref="S75:S77" si="88">if(and(WEEKDAY(D75,3)&gt;4,D75&lt;&gt;$E$1,D75&lt;&gt;$F$1,D75&lt;&gt;$G$1,G75&lt;$Q$1,G75&lt;&gt;""),1,0)+if(and(WEEKDAY(D75,3)&gt;4,D75&lt;&gt;$E$1,D75&lt;&gt;$F$1,D75&lt;&gt;$G$1,H75&gt;$R$1,H75&lt;&gt;""),1,0)</f>
        <v>0</v>
      </c>
      <c r="T75" s="140">
        <f t="shared" ref="T75:T77" si="89">if(and(E75="ĐT",H75&lt;&gt;"",H75&gt;$R$1),1,0)</f>
        <v>0</v>
      </c>
      <c r="U75" s="140"/>
      <c r="V75" s="140"/>
      <c r="W75" s="140">
        <f t="shared" ref="W75:W77" si="90">if(E75="LX",if(and(G75&lt;$S$1,H75&gt;$T$1,M75&lt;&gt;1,M75&lt;&gt;"CT"),1,""),"")+if(E75="LX",if(and(G75&lt;$U$1,H75&gt;$V$1),1,""),"")</f>
        <v>0</v>
      </c>
      <c r="X75" s="142">
        <f t="shared" ref="X75:X77" si="91">if(B75="","",(if($I$1-G75&gt;0,$I$1-G75,0)+if(H75-$N$1&gt;0,H75-$N$1,0))*24/8)</f>
        <v>0.625</v>
      </c>
      <c r="Y75" s="142" t="s">
        <v>205</v>
      </c>
    </row>
    <row r="76">
      <c r="A76" s="135">
        <v>67.0</v>
      </c>
      <c r="B76" s="135" t="s">
        <v>206</v>
      </c>
      <c r="C76" s="135" t="s">
        <v>67</v>
      </c>
      <c r="D76" s="136">
        <v>44698.0</v>
      </c>
      <c r="E76" s="135" t="str">
        <f>IFERROR(VLOOKUP(C76,'Công T5'!$C$7:$F$89,4,0),"")</f>
        <v>HCTH</v>
      </c>
      <c r="F76" s="137">
        <f>IFERROR(__xludf.DUMMYFUNCTION("INDEX(FILTER('Công T5'!$B$8:$C$89,'Công T5'!$C$8:$C$89=C76),1,1)"),10139.0)</f>
        <v>10139</v>
      </c>
      <c r="G76" s="138" t="str">
        <f>IFERROR(__xludf.DUMMYFUNCTION("IFERROR(INDEX(FILTER('Vân tay'!$A$5:$O330,'Vân tay'!$C$5:$C330=F76,'Vân tay'!$B$5:$B330=D76),1,10),"""")"),"")</f>
        <v/>
      </c>
      <c r="H76" s="138" t="str">
        <f>IFERROR(__xludf.DUMMYFUNCTION("IFERROR(INDEX(FILTER('Vân tay'!$A$5:$O330,'Vân tay'!$C$5:$C330=F76,'Vân tay'!$B$5:$B330=D76),1,11),"""")"),"")</f>
        <v/>
      </c>
      <c r="I76" s="138" t="str">
        <f>IFERROR(__xludf.DUMMYFUNCTION("IFERROR(INDEX(FILTER('Vân tay'!$A$5:$O330,'Vân tay'!$C$5:$C330=F76,'Vân tay'!$B$5:$B330=D76),1,14),"""")"),"")</f>
        <v/>
      </c>
      <c r="J76" s="138" t="str">
        <f>IFERROR(__xludf.DUMMYFUNCTION("IFERROR(INDEX(FILTER('Vân tay'!$A$5:$O330,'Vân tay'!$C$5:$C330=F76,'Vân tay'!$B$5:$B330=D76),1,15),"""")"),"")</f>
        <v/>
      </c>
      <c r="K76" s="139">
        <f t="shared" si="84"/>
        <v>0</v>
      </c>
      <c r="L76" s="139" t="str">
        <f t="shared" si="85"/>
        <v/>
      </c>
      <c r="M76" s="139">
        <v>0.5</v>
      </c>
      <c r="N76" s="140" t="str">
        <f t="shared" si="86"/>
        <v/>
      </c>
      <c r="O76" s="140"/>
      <c r="P76" s="140">
        <f t="shared" ref="P76:P77" si="92">if(Y76="làm thêm ngày thường",X76,if(Y76="làm thêm T7, CN",M76,0))</f>
        <v>0</v>
      </c>
      <c r="Q76" s="140">
        <f>if(or(D76='Công T5'!$B$97,D76='Công T5'!$B$98,D76='Công T5'!$B$99,D76='Công T5'!$B$100,D76='Công T5'!$B$101),if(M76="CT",1,if(M76="C/2",0.5,M76)),0)</f>
        <v>0</v>
      </c>
      <c r="R76" s="140">
        <f t="shared" si="87"/>
        <v>0</v>
      </c>
      <c r="S76" s="141">
        <f t="shared" si="88"/>
        <v>0</v>
      </c>
      <c r="T76" s="140">
        <f t="shared" si="89"/>
        <v>0</v>
      </c>
      <c r="U76" s="140"/>
      <c r="V76" s="140"/>
      <c r="W76" s="140">
        <f t="shared" si="90"/>
        <v>0</v>
      </c>
      <c r="X76" s="142">
        <f t="shared" si="91"/>
        <v>1</v>
      </c>
      <c r="Y76" s="143"/>
    </row>
    <row r="77">
      <c r="A77" s="135">
        <v>68.0</v>
      </c>
      <c r="B77" s="135" t="s">
        <v>207</v>
      </c>
      <c r="C77" s="135" t="s">
        <v>67</v>
      </c>
      <c r="D77" s="136">
        <v>44706.0</v>
      </c>
      <c r="E77" s="135" t="str">
        <f>IFERROR(VLOOKUP(C77,'Công T5'!$C$7:$F$89,4,0),"")</f>
        <v>HCTH</v>
      </c>
      <c r="F77" s="137">
        <f>IFERROR(__xludf.DUMMYFUNCTION("INDEX(FILTER('Công T5'!$B$8:$C$89,'Công T5'!$C$8:$C$89=C77),1,1)"),10139.0)</f>
        <v>10139</v>
      </c>
      <c r="G77" s="138">
        <f>IFERROR(__xludf.DUMMYFUNCTION("IFERROR(INDEX(FILTER('Vân tay'!$A$5:$O330,'Vân tay'!$C$5:$C330=F77,'Vân tay'!$B$5:$B330=D77),1,10),"""")"),0.33958333333333335)</f>
        <v>0.3395833333</v>
      </c>
      <c r="H77" s="138">
        <f>IFERROR(__xludf.DUMMYFUNCTION("IFERROR(INDEX(FILTER('Vân tay'!$A$5:$O330,'Vân tay'!$C$5:$C330=F77,'Vân tay'!$B$5:$B330=D77),1,11),"""")"),0.7368055555555556)</f>
        <v>0.7368055556</v>
      </c>
      <c r="I77" s="138">
        <v>0.3333333333333333</v>
      </c>
      <c r="J77" s="138">
        <f>IFERROR(__xludf.DUMMYFUNCTION("IFERROR(INDEX(FILTER('Vân tay'!$A$5:$O330,'Vân tay'!$C$5:$C330=F77,'Vân tay'!$B$5:$B330=D77),1,15),"""")"),0.7083333333333334)</f>
        <v>0.7083333333</v>
      </c>
      <c r="K77" s="139">
        <f t="shared" si="84"/>
        <v>0.5</v>
      </c>
      <c r="L77" s="139">
        <f t="shared" si="85"/>
        <v>0.5</v>
      </c>
      <c r="M77" s="139">
        <f>if(B77="","",if(J77="",0.5,if(E77="NL",1,(K77+L77))))</f>
        <v>1</v>
      </c>
      <c r="N77" s="140"/>
      <c r="O77" s="140">
        <f>if(B77&lt;&gt;"",if(OR(J77="",M77=""),1,0),"")</f>
        <v>0</v>
      </c>
      <c r="P77" s="140">
        <f t="shared" si="92"/>
        <v>0</v>
      </c>
      <c r="Q77" s="140">
        <f>if(or(D77='Công T5'!$B$97,D77='Công T5'!$B$98,D77='Công T5'!$B$99,D77='Công T5'!$B$100,D77='Công T5'!$B$101),if(M77="CT",1,if(M77="C/2",0.5,M77)),0)</f>
        <v>0</v>
      </c>
      <c r="R77" s="140">
        <f t="shared" si="87"/>
        <v>0</v>
      </c>
      <c r="S77" s="141">
        <f t="shared" si="88"/>
        <v>0</v>
      </c>
      <c r="T77" s="140">
        <f t="shared" si="89"/>
        <v>0</v>
      </c>
      <c r="U77" s="140"/>
      <c r="V77" s="140"/>
      <c r="W77" s="140">
        <f t="shared" si="90"/>
        <v>0</v>
      </c>
      <c r="X77" s="142">
        <f t="shared" si="91"/>
        <v>0.08541666667</v>
      </c>
      <c r="Y77" s="143"/>
    </row>
    <row r="78">
      <c r="A78" s="135">
        <v>69.0</v>
      </c>
      <c r="B78" s="135" t="s">
        <v>187</v>
      </c>
      <c r="C78" s="135" t="s">
        <v>63</v>
      </c>
      <c r="D78" s="136">
        <v>44681.0</v>
      </c>
      <c r="E78" s="135" t="str">
        <f>IFERROR(VLOOKUP(C78,'Công T5'!$C$7:$F$89,4,0),"")</f>
        <v>HCTH</v>
      </c>
      <c r="F78" s="137">
        <f>IFERROR(__xludf.DUMMYFUNCTION("INDEX(FILTER('Công T5'!$B$8:$C$89,'Công T5'!$C$8:$C$89=C78),1,1)"),10103.0)</f>
        <v>10103</v>
      </c>
      <c r="G78" s="138"/>
      <c r="H78" s="138"/>
      <c r="I78" s="138"/>
      <c r="J78" s="138"/>
      <c r="K78" s="139"/>
      <c r="L78" s="139"/>
      <c r="M78" s="139" t="s">
        <v>43</v>
      </c>
      <c r="N78" s="140"/>
      <c r="O78" s="140"/>
      <c r="P78" s="140"/>
      <c r="Q78" s="140"/>
      <c r="R78" s="140"/>
      <c r="S78" s="141"/>
      <c r="T78" s="140"/>
      <c r="U78" s="140"/>
      <c r="V78" s="140"/>
      <c r="W78" s="140"/>
      <c r="X78" s="142"/>
      <c r="Y78" s="143"/>
    </row>
    <row r="79">
      <c r="A79" s="135">
        <v>70.0</v>
      </c>
      <c r="B79" s="135" t="s">
        <v>187</v>
      </c>
      <c r="C79" s="135" t="s">
        <v>63</v>
      </c>
      <c r="D79" s="136">
        <v>44682.0</v>
      </c>
      <c r="E79" s="135" t="str">
        <f>IFERROR(VLOOKUP(C79,'Công T5'!$C$7:$F$89,4,0),"")</f>
        <v>HCTH</v>
      </c>
      <c r="F79" s="137">
        <f>IFERROR(__xludf.DUMMYFUNCTION("INDEX(FILTER('Công T5'!$B$8:$C$89,'Công T5'!$C$8:$C$89=C79),1,1)"),10103.0)</f>
        <v>10103</v>
      </c>
      <c r="G79" s="138"/>
      <c r="H79" s="138"/>
      <c r="I79" s="138"/>
      <c r="J79" s="138"/>
      <c r="K79" s="139"/>
      <c r="L79" s="139"/>
      <c r="M79" s="139" t="s">
        <v>43</v>
      </c>
      <c r="N79" s="140"/>
      <c r="O79" s="140"/>
      <c r="P79" s="140"/>
      <c r="Q79" s="140"/>
      <c r="R79" s="140"/>
      <c r="S79" s="141"/>
      <c r="T79" s="140"/>
      <c r="U79" s="140"/>
      <c r="V79" s="140"/>
      <c r="W79" s="140"/>
      <c r="X79" s="142"/>
      <c r="Y79" s="143"/>
    </row>
    <row r="80">
      <c r="A80" s="135">
        <v>71.0</v>
      </c>
      <c r="B80" s="135" t="s">
        <v>208</v>
      </c>
      <c r="C80" s="135" t="s">
        <v>63</v>
      </c>
      <c r="D80" s="136">
        <v>44702.0</v>
      </c>
      <c r="E80" s="135" t="str">
        <f>IFERROR(VLOOKUP(C80,'Công T5'!$C$7:$F$89,4,0),"")</f>
        <v>HCTH</v>
      </c>
      <c r="F80" s="137">
        <f>IFERROR(__xludf.DUMMYFUNCTION("INDEX(FILTER('Công T5'!$B$8:$C$89,'Công T5'!$C$8:$C$89=C80),1,1)"),10103.0)</f>
        <v>10103</v>
      </c>
      <c r="G80" s="138">
        <f>IFERROR(__xludf.DUMMYFUNCTION("IFERROR(INDEX(FILTER('Vân tay'!$A$5:$O330,'Vân tay'!$C$5:$C330=F80,'Vân tay'!$B$5:$B330=D80),1,10),"""")"),0.38819444444444445)</f>
        <v>0.3881944444</v>
      </c>
      <c r="H80" s="138">
        <f>IFERROR(__xludf.DUMMYFUNCTION("IFERROR(INDEX(FILTER('Vân tay'!$A$5:$O330,'Vân tay'!$C$5:$C330=F80,'Vân tay'!$B$5:$B330=D80),1,11),"""")"),0.6340277777777777)</f>
        <v>0.6340277778</v>
      </c>
      <c r="I80" s="138">
        <f>IFERROR(__xludf.DUMMYFUNCTION("IFERROR(INDEX(FILTER('Vân tay'!$A$5:$O330,'Vân tay'!$C$5:$C330=F80,'Vân tay'!$B$5:$B330=D80),1,14),"""")"),0.38819444444444445)</f>
        <v>0.3881944444</v>
      </c>
      <c r="J80" s="138">
        <f>IFERROR(__xludf.DUMMYFUNCTION("IFERROR(INDEX(FILTER('Vân tay'!$A$5:$O330,'Vân tay'!$C$5:$C330=F80,'Vân tay'!$B$5:$B330=D80),1,15),"""")"),0.6340277777777777)</f>
        <v>0.6340277778</v>
      </c>
      <c r="K80" s="139">
        <f>if(B80="","",if(J80&lt;&gt;"",if(I80&lt;$L$1,if(J80&lt;$L$1,J80-I80,$L$1-I80),0),"")*24/8)</f>
        <v>0.3354166667</v>
      </c>
      <c r="L80" s="139">
        <f>if(I80="","",if(J80="","",if(J80&gt;$M$1,if(I80&lt;$M$1,J80-$M$1,J80-I80)*24/8,"")))</f>
        <v>0.2770833333</v>
      </c>
      <c r="M80" s="139">
        <f>if(B80="","",if(J80="",0.5,if(E80="NL",1,(K80+L80))))</f>
        <v>0.6125</v>
      </c>
      <c r="N80" s="140"/>
      <c r="O80" s="140">
        <f>if(B80&lt;&gt;"",if(OR(J80="",M80=""),1,0),"")</f>
        <v>0</v>
      </c>
      <c r="P80" s="140">
        <f>if(Y80="làm thêm ngày thường",X80,if(Y80="làm thêm T7, CN",M80,0))</f>
        <v>0</v>
      </c>
      <c r="Q80" s="140">
        <f>if(or(D80='Công T5'!$B$97,D80='Công T5'!$B$98,D80='Công T5'!$B$99,D80='Công T5'!$B$100,D80='Công T5'!$B$101),if(M80="CT",1,if(M80="C/2",0.5,M80)),0)</f>
        <v>0</v>
      </c>
      <c r="R80" s="140">
        <f>if(and(or(WEEKDAY(D80,3)&lt;5,D80=$E$1,D80=$F$1,D80=$G$1),G80&lt;$Q$1,G80&lt;&gt;""),1,0)+if(and(or(WEEKDAY(D80,3)&lt;5,D80=$E$1,D80=$F$1,D80=$G$1),H80&gt;$R$1,H80&lt;&gt;""),1,0)</f>
        <v>0</v>
      </c>
      <c r="S80" s="141">
        <f>if(and(WEEKDAY(D80,3)&gt;4,D80&lt;&gt;$E$1,D80&lt;&gt;$F$1,D80&lt;&gt;$G$1,G80&lt;$Q$1,G80&lt;&gt;""),1,0)+if(and(WEEKDAY(D80,3)&gt;4,D80&lt;&gt;$E$1,D80&lt;&gt;$F$1,D80&lt;&gt;$G$1,H80&gt;$R$1,H80&lt;&gt;""),1,0)</f>
        <v>0</v>
      </c>
      <c r="T80" s="140">
        <f>if(and(E80="ĐT",H80&lt;&gt;"",H80&gt;$R$1),1,0)</f>
        <v>0</v>
      </c>
      <c r="U80" s="140"/>
      <c r="V80" s="140"/>
      <c r="W80" s="140">
        <f>if(E80="LX",if(and(G80&lt;$S$1,H80&gt;$T$1,M80&lt;&gt;1,M80&lt;&gt;"CT"),1,""),"")+if(E80="LX",if(and(G80&lt;$U$1,H80&gt;$V$1),1,""),"")</f>
        <v>0</v>
      </c>
      <c r="X80" s="142">
        <f>if(B80="","",(if($I$1-G80&gt;0,$I$1-G80,0)+if(H80-$N$1&gt;0,H80-$N$1,0))*24/8)</f>
        <v>0</v>
      </c>
      <c r="Y80" s="143"/>
    </row>
    <row r="81">
      <c r="A81" s="135">
        <v>72.0</v>
      </c>
      <c r="B81" s="135" t="s">
        <v>187</v>
      </c>
      <c r="C81" s="135" t="s">
        <v>68</v>
      </c>
      <c r="D81" s="136">
        <v>44681.0</v>
      </c>
      <c r="E81" s="135" t="str">
        <f>IFERROR(VLOOKUP(C81,'Công T5'!$C$7:$F$89,4,0),"")</f>
        <v>HCTH</v>
      </c>
      <c r="F81" s="137">
        <f>IFERROR(__xludf.DUMMYFUNCTION("INDEX(FILTER('Công T5'!$B$8:$C$89,'Công T5'!$C$8:$C$89=C81),1,1)"),10061.0)</f>
        <v>10061</v>
      </c>
      <c r="G81" s="138"/>
      <c r="H81" s="138"/>
      <c r="I81" s="138"/>
      <c r="J81" s="138"/>
      <c r="K81" s="139"/>
      <c r="L81" s="139"/>
      <c r="M81" s="139" t="s">
        <v>43</v>
      </c>
      <c r="N81" s="140"/>
      <c r="O81" s="140"/>
      <c r="P81" s="140"/>
      <c r="Q81" s="140"/>
      <c r="R81" s="140"/>
      <c r="S81" s="141"/>
      <c r="T81" s="140"/>
      <c r="U81" s="140"/>
      <c r="V81" s="140"/>
      <c r="W81" s="140"/>
      <c r="X81" s="142"/>
      <c r="Y81" s="143"/>
    </row>
    <row r="82">
      <c r="A82" s="135">
        <v>73.0</v>
      </c>
      <c r="B82" s="135" t="s">
        <v>187</v>
      </c>
      <c r="C82" s="135" t="s">
        <v>68</v>
      </c>
      <c r="D82" s="136">
        <v>44682.0</v>
      </c>
      <c r="E82" s="135" t="str">
        <f>IFERROR(VLOOKUP(C82,'Công T5'!$C$7:$F$89,4,0),"")</f>
        <v>HCTH</v>
      </c>
      <c r="F82" s="137">
        <f>IFERROR(__xludf.DUMMYFUNCTION("INDEX(FILTER('Công T5'!$B$8:$C$89,'Công T5'!$C$8:$C$89=C82),1,1)"),10061.0)</f>
        <v>10061</v>
      </c>
      <c r="G82" s="138"/>
      <c r="H82" s="138"/>
      <c r="I82" s="138"/>
      <c r="J82" s="138"/>
      <c r="K82" s="139"/>
      <c r="L82" s="139"/>
      <c r="M82" s="139" t="s">
        <v>43</v>
      </c>
      <c r="N82" s="140"/>
      <c r="O82" s="140"/>
      <c r="P82" s="140"/>
      <c r="Q82" s="140"/>
      <c r="R82" s="140"/>
      <c r="S82" s="141"/>
      <c r="T82" s="140"/>
      <c r="U82" s="140"/>
      <c r="V82" s="140"/>
      <c r="W82" s="140"/>
      <c r="X82" s="142"/>
      <c r="Y82" s="143"/>
    </row>
    <row r="83">
      <c r="A83" s="135">
        <v>74.0</v>
      </c>
      <c r="B83" s="135" t="s">
        <v>209</v>
      </c>
      <c r="C83" s="135" t="s">
        <v>66</v>
      </c>
      <c r="D83" s="136">
        <v>44677.0</v>
      </c>
      <c r="E83" s="135" t="str">
        <f>IFERROR(VLOOKUP(C83,'Công T5'!$C$7:$F$89,4,0),"")</f>
        <v>HCTH</v>
      </c>
      <c r="F83" s="137">
        <f>IFERROR(__xludf.DUMMYFUNCTION("INDEX(FILTER('Công T5'!$B$8:$C$89,'Công T5'!$C$8:$C$89=C83),1,1)"),10007.0)</f>
        <v>10007</v>
      </c>
      <c r="G83" s="138">
        <f>IFERROR(__xludf.DUMMYFUNCTION("IFERROR(INDEX(FILTER('Vân tay'!$A$5:$O330,'Vân tay'!$C$5:$C330=F83,'Vân tay'!$B$5:$B330=D83),1,10),"""")"),0.5256944444444445)</f>
        <v>0.5256944444</v>
      </c>
      <c r="H83" s="138">
        <f>IFERROR(__xludf.DUMMYFUNCTION("IFERROR(INDEX(FILTER('Vân tay'!$A$5:$O330,'Vân tay'!$C$5:$C330=F83,'Vân tay'!$B$5:$B330=D83),1,11),"""")"),0.7583333333333333)</f>
        <v>0.7583333333</v>
      </c>
      <c r="I83" s="138">
        <f>IFERROR(__xludf.DUMMYFUNCTION("IFERROR(INDEX(FILTER('Vân tay'!$A$5:$O330,'Vân tay'!$C$5:$C330=F83,'Vân tay'!$B$5:$B330=D83),1,14),"""")"),0.5416666666666666)</f>
        <v>0.5416666667</v>
      </c>
      <c r="J83" s="138">
        <f>IFERROR(__xludf.DUMMYFUNCTION("IFERROR(INDEX(FILTER('Vân tay'!$A$5:$O330,'Vân tay'!$C$5:$C330=F83,'Vân tay'!$B$5:$B330=D83),1,15),"""")"),0.7083333333333334)</f>
        <v>0.7083333333</v>
      </c>
      <c r="K83" s="139">
        <f>if(B83="","",if(J83&lt;&gt;"",if(I83&lt;$L$1,if(J83&lt;$L$1,J83-I83,$L$1-I83),0),"")*24/8)</f>
        <v>0</v>
      </c>
      <c r="L83" s="139">
        <f>if(I83="","",if(J83="","",if(J83&gt;$M$1,if(I83&lt;$M$1,J83-$M$1,J83-I83)*24/8,"")))</f>
        <v>0.5</v>
      </c>
      <c r="M83" s="139">
        <f>if(B83="","",if(J83="",0.5,if(E83="NL",1,(K83+L83))))</f>
        <v>0.5</v>
      </c>
      <c r="N83" s="140"/>
      <c r="O83" s="140">
        <f>if(B83&lt;&gt;"",if(OR(J83="",M83=""),1,0),"")</f>
        <v>0</v>
      </c>
      <c r="P83" s="140">
        <f>if(Y83="làm thêm ngày thường",X83,if(Y83="làm thêm T7, CN",M83,0))</f>
        <v>0</v>
      </c>
      <c r="Q83" s="140">
        <f>if(or(D83='Công T5'!$B$97,D83='Công T5'!$B$98,D83='Công T5'!$B$99,D83='Công T5'!$B$100,D83='Công T5'!$B$101),if(M83="CT",1,if(M83="C/2",0.5,M83)),0)</f>
        <v>0</v>
      </c>
      <c r="R83" s="140">
        <f>if(and(or(WEEKDAY(D83,3)&lt;5,D83=$E$1,D83=$F$1,D83=$G$1),G83&lt;$Q$1,G83&lt;&gt;""),1,0)+if(and(or(WEEKDAY(D83,3)&lt;5,D83=$E$1,D83=$F$1,D83=$G$1),H83&gt;$R$1,H83&lt;&gt;""),1,0)</f>
        <v>0</v>
      </c>
      <c r="S83" s="141">
        <f>if(and(WEEKDAY(D83,3)&gt;4,D83&lt;&gt;$E$1,D83&lt;&gt;$F$1,D83&lt;&gt;$G$1,G83&lt;$Q$1,G83&lt;&gt;""),1,0)+if(and(WEEKDAY(D83,3)&gt;4,D83&lt;&gt;$E$1,D83&lt;&gt;$F$1,D83&lt;&gt;$G$1,H83&gt;$R$1,H83&lt;&gt;""),1,0)</f>
        <v>0</v>
      </c>
      <c r="T83" s="140">
        <f>if(and(E83="ĐT",H83&lt;&gt;"",H83&gt;$R$1),1,0)</f>
        <v>0</v>
      </c>
      <c r="U83" s="140"/>
      <c r="V83" s="140"/>
      <c r="W83" s="140">
        <f>if(E83="LX",if(and(G83&lt;$S$1,H83&gt;$T$1,M83&lt;&gt;1,M83&lt;&gt;"CT"),1,""),"")+if(E83="LX",if(and(G83&lt;$U$1,H83&gt;$V$1),1,""),"")</f>
        <v>0</v>
      </c>
      <c r="X83" s="142">
        <f>if(B83="","",(if($I$1-G83&gt;0,$I$1-G83,0)+if(H83-$N$1&gt;0,H83-$N$1,0))*24/8)</f>
        <v>0.15</v>
      </c>
      <c r="Y83" s="143"/>
    </row>
    <row r="84">
      <c r="A84" s="135">
        <v>75.0</v>
      </c>
      <c r="B84" s="135" t="s">
        <v>187</v>
      </c>
      <c r="C84" s="135" t="s">
        <v>66</v>
      </c>
      <c r="D84" s="136">
        <v>44681.0</v>
      </c>
      <c r="E84" s="135" t="str">
        <f>IFERROR(VLOOKUP(C84,'Công T5'!$C$7:$F$89,4,0),"")</f>
        <v>HCTH</v>
      </c>
      <c r="F84" s="137">
        <f>IFERROR(__xludf.DUMMYFUNCTION("INDEX(FILTER('Công T5'!$B$8:$C$89,'Công T5'!$C$8:$C$89=C84),1,1)"),10007.0)</f>
        <v>10007</v>
      </c>
      <c r="G84" s="138"/>
      <c r="H84" s="138"/>
      <c r="I84" s="138"/>
      <c r="J84" s="138"/>
      <c r="K84" s="139"/>
      <c r="L84" s="139"/>
      <c r="M84" s="139" t="s">
        <v>43</v>
      </c>
      <c r="N84" s="140"/>
      <c r="O84" s="140"/>
      <c r="P84" s="140"/>
      <c r="Q84" s="140"/>
      <c r="R84" s="140"/>
      <c r="S84" s="141"/>
      <c r="T84" s="140"/>
      <c r="U84" s="140"/>
      <c r="V84" s="140"/>
      <c r="W84" s="140"/>
      <c r="X84" s="142"/>
      <c r="Y84" s="143"/>
    </row>
    <row r="85">
      <c r="A85" s="135">
        <v>76.0</v>
      </c>
      <c r="B85" s="135" t="s">
        <v>187</v>
      </c>
      <c r="C85" s="135" t="s">
        <v>66</v>
      </c>
      <c r="D85" s="136">
        <v>44682.0</v>
      </c>
      <c r="E85" s="135" t="str">
        <f>IFERROR(VLOOKUP(C85,'Công T5'!$C$7:$F$89,4,0),"")</f>
        <v>HCTH</v>
      </c>
      <c r="F85" s="137">
        <f>IFERROR(__xludf.DUMMYFUNCTION("INDEX(FILTER('Công T5'!$B$8:$C$89,'Công T5'!$C$8:$C$89=C85),1,1)"),10007.0)</f>
        <v>10007</v>
      </c>
      <c r="G85" s="138"/>
      <c r="H85" s="138"/>
      <c r="I85" s="138"/>
      <c r="J85" s="138"/>
      <c r="K85" s="139"/>
      <c r="L85" s="139"/>
      <c r="M85" s="139" t="s">
        <v>43</v>
      </c>
      <c r="N85" s="140"/>
      <c r="O85" s="140"/>
      <c r="P85" s="140"/>
      <c r="Q85" s="140"/>
      <c r="R85" s="140"/>
      <c r="S85" s="141"/>
      <c r="T85" s="140"/>
      <c r="U85" s="140"/>
      <c r="V85" s="140"/>
      <c r="W85" s="140"/>
      <c r="X85" s="142"/>
      <c r="Y85" s="143"/>
    </row>
    <row r="86">
      <c r="A86" s="135">
        <v>77.0</v>
      </c>
      <c r="B86" s="135" t="s">
        <v>210</v>
      </c>
      <c r="C86" s="135" t="s">
        <v>66</v>
      </c>
      <c r="D86" s="136">
        <v>44691.0</v>
      </c>
      <c r="E86" s="135" t="str">
        <f>IFERROR(VLOOKUP(C86,'Công T5'!$C$7:$F$89,4,0),"")</f>
        <v>HCTH</v>
      </c>
      <c r="F86" s="137">
        <f>IFERROR(__xludf.DUMMYFUNCTION("INDEX(FILTER('Công T5'!$B$8:$C$89,'Công T5'!$C$8:$C$89=C86),1,1)"),10007.0)</f>
        <v>10007</v>
      </c>
      <c r="G86" s="138">
        <f>IFERROR(__xludf.DUMMYFUNCTION("IFERROR(INDEX(FILTER('Vân tay'!$A$5:$O330,'Vân tay'!$C$5:$C330=F86,'Vân tay'!$B$5:$B330=D86),1,10),"""")"),0.5458333333333333)</f>
        <v>0.5458333333</v>
      </c>
      <c r="H86" s="138">
        <f>IFERROR(__xludf.DUMMYFUNCTION("IFERROR(INDEX(FILTER('Vân tay'!$A$5:$O330,'Vân tay'!$C$5:$C330=F86,'Vân tay'!$B$5:$B330=D86),1,11),"""")"),0.7416666666666667)</f>
        <v>0.7416666667</v>
      </c>
      <c r="I86" s="138">
        <f>IFERROR(__xludf.DUMMYFUNCTION("IFERROR(INDEX(FILTER('Vân tay'!$A$5:$O330,'Vân tay'!$C$5:$C330=F86,'Vân tay'!$B$5:$B330=D86),1,14),"""")"),0.5458333333333333)</f>
        <v>0.5458333333</v>
      </c>
      <c r="J86" s="138">
        <f>IFERROR(__xludf.DUMMYFUNCTION("IFERROR(INDEX(FILTER('Vân tay'!$A$5:$O330,'Vân tay'!$C$5:$C330=F86,'Vân tay'!$B$5:$B330=D86),1,15),"""")"),0.7083333333333334)</f>
        <v>0.7083333333</v>
      </c>
      <c r="K86" s="139">
        <f t="shared" ref="K86:K87" si="93">if(B86="","",if(J86&lt;&gt;"",if(I86&lt;$L$1,if(J86&lt;$L$1,J86-I86,$L$1-I86),0),"")*24/8)</f>
        <v>0</v>
      </c>
      <c r="L86" s="139">
        <f t="shared" ref="L86:L87" si="94">if(I86="","",if(J86="","",if(J86&gt;$M$1,if(I86&lt;$M$1,J86-$M$1,J86-I86)*24/8,"")))</f>
        <v>0.4875</v>
      </c>
      <c r="M86" s="139">
        <f>if(B86="","",if(J86="",0.5,if(E86="NL",1,(K86+L86))))</f>
        <v>0.4875</v>
      </c>
      <c r="N86" s="140"/>
      <c r="O86" s="140">
        <f>if(B86&lt;&gt;"",if(OR(J86="",M86=""),1,0),"")</f>
        <v>0</v>
      </c>
      <c r="P86" s="140">
        <f t="shared" ref="P86:P87" si="95">if(Y86="làm thêm ngày thường",X86,if(Y86="làm thêm T7, CN",M86,0))</f>
        <v>0</v>
      </c>
      <c r="Q86" s="140">
        <f>if(or(D86='Công T5'!$B$97,D86='Công T5'!$B$98,D86='Công T5'!$B$99,D86='Công T5'!$B$100,D86='Công T5'!$B$101),if(M86="CT",1,if(M86="C/2",0.5,M86)),0)</f>
        <v>0</v>
      </c>
      <c r="R86" s="140">
        <f t="shared" ref="R86:R87" si="96">if(and(or(WEEKDAY(D86,3)&lt;5,D86=$E$1,D86=$F$1,D86=$G$1),G86&lt;$Q$1,G86&lt;&gt;""),1,0)+if(and(or(WEEKDAY(D86,3)&lt;5,D86=$E$1,D86=$F$1,D86=$G$1),H86&gt;$R$1,H86&lt;&gt;""),1,0)</f>
        <v>0</v>
      </c>
      <c r="S86" s="141">
        <f t="shared" ref="S86:S87" si="97">if(and(WEEKDAY(D86,3)&gt;4,D86&lt;&gt;$E$1,D86&lt;&gt;$F$1,D86&lt;&gt;$G$1,G86&lt;$Q$1,G86&lt;&gt;""),1,0)+if(and(WEEKDAY(D86,3)&gt;4,D86&lt;&gt;$E$1,D86&lt;&gt;$F$1,D86&lt;&gt;$G$1,H86&gt;$R$1,H86&lt;&gt;""),1,0)</f>
        <v>0</v>
      </c>
      <c r="T86" s="140">
        <f t="shared" ref="T86:T87" si="98">if(and(E86="ĐT",H86&lt;&gt;"",H86&gt;$R$1),1,0)</f>
        <v>0</v>
      </c>
      <c r="U86" s="140"/>
      <c r="V86" s="140"/>
      <c r="W86" s="140">
        <f t="shared" ref="W86:W87" si="99">if(E86="LX",if(and(G86&lt;$S$1,H86&gt;$T$1,M86&lt;&gt;1,M86&lt;&gt;"CT"),1,""),"")+if(E86="LX",if(and(G86&lt;$U$1,H86&gt;$V$1),1,""),"")</f>
        <v>0</v>
      </c>
      <c r="X86" s="142">
        <f t="shared" ref="X86:X87" si="100">if(B86="","",(if($I$1-G86&gt;0,$I$1-G86,0)+if(H86-$N$1&gt;0,H86-$N$1,0))*24/8)</f>
        <v>0.1</v>
      </c>
      <c r="Y86" s="143"/>
    </row>
    <row r="87">
      <c r="A87" s="135">
        <v>78.0</v>
      </c>
      <c r="B87" s="135" t="s">
        <v>211</v>
      </c>
      <c r="C87" s="135" t="s">
        <v>90</v>
      </c>
      <c r="D87" s="136">
        <v>44679.0</v>
      </c>
      <c r="E87" s="135" t="str">
        <f>IFERROR(VLOOKUP(C87,'Công T5'!$C$7:$F$89,4,0),"")</f>
        <v>KNL</v>
      </c>
      <c r="F87" s="137">
        <f>IFERROR(__xludf.DUMMYFUNCTION("INDEX(FILTER('Công T5'!$B$8:$C$89,'Công T5'!$C$8:$C$89=C87),1,1)"),10261.0)</f>
        <v>10261</v>
      </c>
      <c r="G87" s="138" t="str">
        <f>IFERROR(__xludf.DUMMYFUNCTION("IFERROR(INDEX(FILTER('Vân tay'!$A$5:$O330,'Vân tay'!$C$5:$C330=F87,'Vân tay'!$B$5:$B330=D87),1,10),"""")"),"")</f>
        <v/>
      </c>
      <c r="H87" s="138" t="str">
        <f>IFERROR(__xludf.DUMMYFUNCTION("IFERROR(INDEX(FILTER('Vân tay'!$A$5:$O330,'Vân tay'!$C$5:$C330=F87,'Vân tay'!$B$5:$B330=D87),1,11),"""")"),"")</f>
        <v/>
      </c>
      <c r="I87" s="138" t="str">
        <f>IFERROR(__xludf.DUMMYFUNCTION("IFERROR(INDEX(FILTER('Vân tay'!$A$5:$O330,'Vân tay'!$C$5:$C330=F87,'Vân tay'!$B$5:$B330=D87),1,14),"""")"),"")</f>
        <v/>
      </c>
      <c r="J87" s="138" t="str">
        <f>IFERROR(__xludf.DUMMYFUNCTION("IFERROR(INDEX(FILTER('Vân tay'!$A$5:$O330,'Vân tay'!$C$5:$C330=F87,'Vân tay'!$B$5:$B330=D87),1,15),"""")"),"")</f>
        <v/>
      </c>
      <c r="K87" s="139">
        <f t="shared" si="93"/>
        <v>0</v>
      </c>
      <c r="L87" s="139" t="str">
        <f t="shared" si="94"/>
        <v/>
      </c>
      <c r="M87" s="139" t="s">
        <v>42</v>
      </c>
      <c r="N87" s="140" t="str">
        <f>if(G87&lt;&gt;"",if(G87&gt;$I$1,1,0),"")</f>
        <v/>
      </c>
      <c r="O87" s="140"/>
      <c r="P87" s="140">
        <f t="shared" si="95"/>
        <v>0</v>
      </c>
      <c r="Q87" s="140">
        <f>if(or(D87='Công T5'!$B$97,D87='Công T5'!$B$98,D87='Công T5'!$B$99,D87='Công T5'!$B$100,D87='Công T5'!$B$101),if(M87="CT",1,if(M87="C/2",0.5,M87)),0)</f>
        <v>0</v>
      </c>
      <c r="R87" s="140">
        <f t="shared" si="96"/>
        <v>0</v>
      </c>
      <c r="S87" s="141">
        <f t="shared" si="97"/>
        <v>0</v>
      </c>
      <c r="T87" s="140">
        <f t="shared" si="98"/>
        <v>0</v>
      </c>
      <c r="U87" s="140"/>
      <c r="V87" s="140"/>
      <c r="W87" s="140">
        <f t="shared" si="99"/>
        <v>0</v>
      </c>
      <c r="X87" s="142">
        <f t="shared" si="100"/>
        <v>1</v>
      </c>
      <c r="Y87" s="143"/>
    </row>
    <row r="88">
      <c r="A88" s="135">
        <v>79.0</v>
      </c>
      <c r="B88" s="135" t="s">
        <v>187</v>
      </c>
      <c r="C88" s="135" t="s">
        <v>90</v>
      </c>
      <c r="D88" s="136">
        <v>44681.0</v>
      </c>
      <c r="E88" s="135" t="str">
        <f>IFERROR(VLOOKUP(C88,'Công T5'!$C$7:$F$89,4,0),"")</f>
        <v>KNL</v>
      </c>
      <c r="F88" s="137">
        <f>IFERROR(__xludf.DUMMYFUNCTION("INDEX(FILTER('Công T5'!$B$8:$C$89,'Công T5'!$C$8:$C$89=C88),1,1)"),10261.0)</f>
        <v>10261</v>
      </c>
      <c r="G88" s="138"/>
      <c r="H88" s="138"/>
      <c r="I88" s="138"/>
      <c r="J88" s="138"/>
      <c r="K88" s="139"/>
      <c r="L88" s="139"/>
      <c r="M88" s="139" t="s">
        <v>43</v>
      </c>
      <c r="N88" s="140"/>
      <c r="O88" s="140"/>
      <c r="P88" s="140"/>
      <c r="Q88" s="140"/>
      <c r="R88" s="140"/>
      <c r="S88" s="141"/>
      <c r="T88" s="140"/>
      <c r="U88" s="140"/>
      <c r="V88" s="140"/>
      <c r="W88" s="140"/>
      <c r="X88" s="142"/>
      <c r="Y88" s="143"/>
    </row>
    <row r="89">
      <c r="A89" s="135">
        <v>80.0</v>
      </c>
      <c r="B89" s="135" t="s">
        <v>187</v>
      </c>
      <c r="C89" s="135" t="s">
        <v>90</v>
      </c>
      <c r="D89" s="136">
        <v>44682.0</v>
      </c>
      <c r="E89" s="135" t="str">
        <f>IFERROR(VLOOKUP(C89,'Công T5'!$C$7:$F$89,4,0),"")</f>
        <v>KNL</v>
      </c>
      <c r="F89" s="137">
        <f>IFERROR(__xludf.DUMMYFUNCTION("INDEX(FILTER('Công T5'!$B$8:$C$89,'Công T5'!$C$8:$C$89=C89),1,1)"),10261.0)</f>
        <v>10261</v>
      </c>
      <c r="G89" s="138"/>
      <c r="H89" s="138"/>
      <c r="I89" s="138"/>
      <c r="J89" s="138"/>
      <c r="K89" s="139"/>
      <c r="L89" s="139"/>
      <c r="M89" s="139" t="s">
        <v>43</v>
      </c>
      <c r="N89" s="140"/>
      <c r="O89" s="140"/>
      <c r="P89" s="140"/>
      <c r="Q89" s="140"/>
      <c r="R89" s="140"/>
      <c r="S89" s="141"/>
      <c r="T89" s="140"/>
      <c r="U89" s="140"/>
      <c r="V89" s="140"/>
      <c r="W89" s="140"/>
      <c r="X89" s="142"/>
      <c r="Y89" s="143"/>
    </row>
    <row r="90">
      <c r="A90" s="135">
        <v>81.0</v>
      </c>
      <c r="B90" s="135" t="s">
        <v>212</v>
      </c>
      <c r="C90" s="135" t="s">
        <v>90</v>
      </c>
      <c r="D90" s="136">
        <v>44688.0</v>
      </c>
      <c r="E90" s="135" t="str">
        <f>IFERROR(VLOOKUP(C90,'Công T5'!$C$7:$F$89,4,0),"")</f>
        <v>KNL</v>
      </c>
      <c r="F90" s="137">
        <f>IFERROR(__xludf.DUMMYFUNCTION("INDEX(FILTER('Công T5'!$B$8:$C$89,'Công T5'!$C$8:$C$89=C90),1,1)"),10261.0)</f>
        <v>10261</v>
      </c>
      <c r="G90" s="138" t="str">
        <f>IFERROR(__xludf.DUMMYFUNCTION("IFERROR(INDEX(FILTER('Vân tay'!$A$5:$O330,'Vân tay'!$C$5:$C330=F90,'Vân tay'!$B$5:$B330=D90),1,10),"""")"),"")</f>
        <v/>
      </c>
      <c r="H90" s="138" t="str">
        <f>IFERROR(__xludf.DUMMYFUNCTION("IFERROR(INDEX(FILTER('Vân tay'!$A$5:$O330,'Vân tay'!$C$5:$C330=F90,'Vân tay'!$B$5:$B330=D90),1,11),"""")"),"")</f>
        <v/>
      </c>
      <c r="I90" s="138" t="str">
        <f>IFERROR(__xludf.DUMMYFUNCTION("IFERROR(INDEX(FILTER('Vân tay'!$A$5:$O330,'Vân tay'!$C$5:$C330=F90,'Vân tay'!$B$5:$B330=D90),1,14),"""")"),"")</f>
        <v/>
      </c>
      <c r="J90" s="138" t="str">
        <f>IFERROR(__xludf.DUMMYFUNCTION("IFERROR(INDEX(FILTER('Vân tay'!$A$5:$O330,'Vân tay'!$C$5:$C330=F90,'Vân tay'!$B$5:$B330=D90),1,15),"""")"),"")</f>
        <v/>
      </c>
      <c r="K90" s="139">
        <f t="shared" ref="K90:K91" si="101">if(B90="","",if(J90&lt;&gt;"",if(I90&lt;$L$1,if(J90&lt;$L$1,J90-I90,$L$1-I90),0),"")*24/8)</f>
        <v>0</v>
      </c>
      <c r="L90" s="139" t="str">
        <f t="shared" ref="L90:L91" si="102">if(I90="","",if(J90="","",if(J90&gt;$M$1,if(I90&lt;$M$1,J90-$M$1,J90-I90)*24/8,"")))</f>
        <v/>
      </c>
      <c r="M90" s="139">
        <v>1.0</v>
      </c>
      <c r="N90" s="140" t="str">
        <f t="shared" ref="N90:N91" si="103">if(G90&lt;&gt;"",if(G90&gt;$I$1,1,0),"")</f>
        <v/>
      </c>
      <c r="O90" s="140"/>
      <c r="P90" s="140">
        <f t="shared" ref="P90:P91" si="104">if(Y90="làm thêm ngày thường",X90,if(Y90="làm thêm T7, CN",M90,0))</f>
        <v>0</v>
      </c>
      <c r="Q90" s="140">
        <f>if(or(D90='Công T5'!$B$97,D90='Công T5'!$B$98,D90='Công T5'!$B$99,D90='Công T5'!$B$100,D90='Công T5'!$B$101),if(M90="CT",1,if(M90="C/2",0.5,M90)),0)</f>
        <v>0</v>
      </c>
      <c r="R90" s="140">
        <f t="shared" ref="R90:R91" si="105">if(and(or(WEEKDAY(D90,3)&lt;5,D90=$E$1,D90=$F$1,D90=$G$1),G90&lt;$Q$1,G90&lt;&gt;""),1,0)+if(and(or(WEEKDAY(D90,3)&lt;5,D90=$E$1,D90=$F$1,D90=$G$1),H90&gt;$R$1,H90&lt;&gt;""),1,0)</f>
        <v>0</v>
      </c>
      <c r="S90" s="141">
        <f t="shared" ref="S90:S91" si="106">if(and(WEEKDAY(D90,3)&gt;4,D90&lt;&gt;$E$1,D90&lt;&gt;$F$1,D90&lt;&gt;$G$1,G90&lt;$Q$1,G90&lt;&gt;""),1,0)+if(and(WEEKDAY(D90,3)&gt;4,D90&lt;&gt;$E$1,D90&lt;&gt;$F$1,D90&lt;&gt;$G$1,H90&gt;$R$1,H90&lt;&gt;""),1,0)</f>
        <v>0</v>
      </c>
      <c r="T90" s="140">
        <f t="shared" ref="T90:T91" si="107">if(and(E90="ĐT",H90&lt;&gt;"",H90&gt;$R$1),1,0)</f>
        <v>0</v>
      </c>
      <c r="U90" s="140"/>
      <c r="V90" s="140"/>
      <c r="W90" s="140">
        <f t="shared" ref="W90:W91" si="108">if(E90="LX",if(and(G90&lt;$S$1,H90&gt;$T$1,M90&lt;&gt;1,M90&lt;&gt;"CT"),1,""),"")+if(E90="LX",if(and(G90&lt;$U$1,H90&gt;$V$1),1,""),"")</f>
        <v>0</v>
      </c>
      <c r="X90" s="142">
        <f t="shared" ref="X90:X91" si="109">if(B90="","",(if($I$1-G90&gt;0,$I$1-G90,0)+if(H90-$N$1&gt;0,H90-$N$1,0))*24/8)</f>
        <v>1</v>
      </c>
      <c r="Y90" s="143"/>
    </row>
    <row r="91">
      <c r="A91" s="135">
        <v>82.0</v>
      </c>
      <c r="B91" s="135" t="s">
        <v>213</v>
      </c>
      <c r="C91" s="135" t="s">
        <v>70</v>
      </c>
      <c r="D91" s="136">
        <v>44678.0</v>
      </c>
      <c r="E91" s="135" t="str">
        <f>IFERROR(VLOOKUP(C91,'Công T5'!$C$7:$F$89,4,0),"")</f>
        <v>KT</v>
      </c>
      <c r="F91" s="137">
        <f>IFERROR(__xludf.DUMMYFUNCTION("INDEX(FILTER('Công T5'!$B$8:$C$89,'Công T5'!$C$8:$C$89=C91),1,1)"),10005.0)</f>
        <v>10005</v>
      </c>
      <c r="G91" s="138">
        <f>IFERROR(__xludf.DUMMYFUNCTION("IFERROR(INDEX(FILTER('Vân tay'!$A$5:$O330,'Vân tay'!$C$5:$C330=F91,'Vân tay'!$B$5:$B330=D91),1,10),"""")"),0.32222222222222224)</f>
        <v>0.3222222222</v>
      </c>
      <c r="H91" s="138">
        <f>IFERROR(__xludf.DUMMYFUNCTION("IFERROR(INDEX(FILTER('Vân tay'!$A$5:$O330,'Vân tay'!$C$5:$C330=F91,'Vân tay'!$B$5:$B330=D91),1,11),"""")"),0.7513888888888889)</f>
        <v>0.7513888889</v>
      </c>
      <c r="I91" s="138">
        <f>IFERROR(__xludf.DUMMYFUNCTION("IFERROR(INDEX(FILTER('Vân tay'!$A$5:$O330,'Vân tay'!$C$5:$C330=F91,'Vân tay'!$B$5:$B330=D91),1,14),"""")"),0.3333333333333333)</f>
        <v>0.3333333333</v>
      </c>
      <c r="J91" s="138">
        <f>IFERROR(__xludf.DUMMYFUNCTION("IFERROR(INDEX(FILTER('Vân tay'!$A$5:$O330,'Vân tay'!$C$5:$C330=F91,'Vân tay'!$B$5:$B330=D91),1,15),"""")"),0.7083333333333334)</f>
        <v>0.7083333333</v>
      </c>
      <c r="K91" s="139">
        <f t="shared" si="101"/>
        <v>0.5</v>
      </c>
      <c r="L91" s="139">
        <f t="shared" si="102"/>
        <v>0.5</v>
      </c>
      <c r="M91" s="139">
        <f>if(B91="","",if(J91="",0.5,if(E91="NL",1,(K91+L91))))</f>
        <v>1</v>
      </c>
      <c r="N91" s="140">
        <f t="shared" si="103"/>
        <v>0</v>
      </c>
      <c r="O91" s="140">
        <f>if(B91&lt;&gt;"",if(OR(J91="",M91=""),1,0),"")</f>
        <v>0</v>
      </c>
      <c r="P91" s="140">
        <f t="shared" si="104"/>
        <v>0</v>
      </c>
      <c r="Q91" s="140">
        <f>if(or(D91='Công T5'!$B$97,D91='Công T5'!$B$98,D91='Công T5'!$B$99,D91='Công T5'!$B$100,D91='Công T5'!$B$101),if(M91="CT",1,if(M91="C/2",0.5,M91)),0)</f>
        <v>0</v>
      </c>
      <c r="R91" s="140">
        <f t="shared" si="105"/>
        <v>0</v>
      </c>
      <c r="S91" s="141">
        <f t="shared" si="106"/>
        <v>0</v>
      </c>
      <c r="T91" s="140">
        <f t="shared" si="107"/>
        <v>0</v>
      </c>
      <c r="U91" s="140"/>
      <c r="V91" s="140"/>
      <c r="W91" s="140">
        <f t="shared" si="108"/>
        <v>0</v>
      </c>
      <c r="X91" s="142">
        <f t="shared" si="109"/>
        <v>0.1625</v>
      </c>
      <c r="Y91" s="143"/>
    </row>
    <row r="92">
      <c r="A92" s="135">
        <v>83.0</v>
      </c>
      <c r="B92" s="135" t="s">
        <v>187</v>
      </c>
      <c r="C92" s="135" t="s">
        <v>70</v>
      </c>
      <c r="D92" s="136">
        <v>44681.0</v>
      </c>
      <c r="E92" s="135" t="str">
        <f>IFERROR(VLOOKUP(C92,'Công T5'!$C$7:$F$89,4,0),"")</f>
        <v>KT</v>
      </c>
      <c r="F92" s="137">
        <f>IFERROR(__xludf.DUMMYFUNCTION("INDEX(FILTER('Công T5'!$B$8:$C$89,'Công T5'!$C$8:$C$89=C92),1,1)"),10005.0)</f>
        <v>10005</v>
      </c>
      <c r="G92" s="138"/>
      <c r="H92" s="138"/>
      <c r="I92" s="138"/>
      <c r="J92" s="138"/>
      <c r="K92" s="139"/>
      <c r="L92" s="139"/>
      <c r="M92" s="139" t="s">
        <v>43</v>
      </c>
      <c r="N92" s="140"/>
      <c r="O92" s="140"/>
      <c r="P92" s="140"/>
      <c r="Q92" s="140"/>
      <c r="R92" s="140"/>
      <c r="S92" s="141"/>
      <c r="T92" s="140"/>
      <c r="U92" s="140"/>
      <c r="V92" s="140"/>
      <c r="W92" s="140"/>
      <c r="X92" s="142"/>
      <c r="Y92" s="143"/>
    </row>
    <row r="93">
      <c r="A93" s="135">
        <v>84.0</v>
      </c>
      <c r="B93" s="135" t="s">
        <v>187</v>
      </c>
      <c r="C93" s="135" t="s">
        <v>70</v>
      </c>
      <c r="D93" s="136">
        <v>44682.0</v>
      </c>
      <c r="E93" s="135" t="str">
        <f>IFERROR(VLOOKUP(C93,'Công T5'!$C$7:$F$89,4,0),"")</f>
        <v>KT</v>
      </c>
      <c r="F93" s="137">
        <f>IFERROR(__xludf.DUMMYFUNCTION("INDEX(FILTER('Công T5'!$B$8:$C$89,'Công T5'!$C$8:$C$89=C93),1,1)"),10005.0)</f>
        <v>10005</v>
      </c>
      <c r="G93" s="138"/>
      <c r="H93" s="138"/>
      <c r="I93" s="138"/>
      <c r="J93" s="138"/>
      <c r="K93" s="139"/>
      <c r="L93" s="139"/>
      <c r="M93" s="139" t="s">
        <v>43</v>
      </c>
      <c r="N93" s="140"/>
      <c r="O93" s="140"/>
      <c r="P93" s="140"/>
      <c r="Q93" s="140"/>
      <c r="R93" s="140"/>
      <c r="S93" s="141"/>
      <c r="T93" s="140"/>
      <c r="U93" s="140"/>
      <c r="V93" s="140"/>
      <c r="W93" s="140"/>
      <c r="X93" s="142"/>
      <c r="Y93" s="143"/>
    </row>
    <row r="94">
      <c r="A94" s="135">
        <v>85.0</v>
      </c>
      <c r="B94" s="135" t="s">
        <v>187</v>
      </c>
      <c r="C94" s="135" t="s">
        <v>73</v>
      </c>
      <c r="D94" s="136">
        <v>44681.0</v>
      </c>
      <c r="E94" s="135" t="str">
        <f>IFERROR(VLOOKUP(C94,'Công T5'!$C$7:$F$89,4,0),"")</f>
        <v>KT</v>
      </c>
      <c r="F94" s="137">
        <f>IFERROR(__xludf.DUMMYFUNCTION("INDEX(FILTER('Công T5'!$B$8:$C$89,'Công T5'!$C$8:$C$89=C94),1,1)"),10210.0)</f>
        <v>10210</v>
      </c>
      <c r="G94" s="138"/>
      <c r="H94" s="138"/>
      <c r="I94" s="138"/>
      <c r="J94" s="138"/>
      <c r="K94" s="139"/>
      <c r="L94" s="139"/>
      <c r="M94" s="139" t="s">
        <v>43</v>
      </c>
      <c r="N94" s="140"/>
      <c r="O94" s="140"/>
      <c r="P94" s="140"/>
      <c r="Q94" s="140"/>
      <c r="R94" s="140"/>
      <c r="S94" s="141"/>
      <c r="T94" s="140"/>
      <c r="U94" s="140"/>
      <c r="V94" s="140"/>
      <c r="W94" s="140"/>
      <c r="X94" s="142"/>
      <c r="Y94" s="143"/>
    </row>
    <row r="95">
      <c r="A95" s="135">
        <v>86.0</v>
      </c>
      <c r="B95" s="135" t="s">
        <v>187</v>
      </c>
      <c r="C95" s="135" t="s">
        <v>73</v>
      </c>
      <c r="D95" s="136">
        <v>44682.0</v>
      </c>
      <c r="E95" s="135" t="str">
        <f>IFERROR(VLOOKUP(C95,'Công T5'!$C$7:$F$89,4,0),"")</f>
        <v>KT</v>
      </c>
      <c r="F95" s="137">
        <f>IFERROR(__xludf.DUMMYFUNCTION("INDEX(FILTER('Công T5'!$B$8:$C$89,'Công T5'!$C$8:$C$89=C95),1,1)"),10210.0)</f>
        <v>10210</v>
      </c>
      <c r="G95" s="138"/>
      <c r="H95" s="138"/>
      <c r="I95" s="138"/>
      <c r="J95" s="138"/>
      <c r="K95" s="139"/>
      <c r="L95" s="139"/>
      <c r="M95" s="139" t="s">
        <v>43</v>
      </c>
      <c r="N95" s="140"/>
      <c r="O95" s="140"/>
      <c r="P95" s="140"/>
      <c r="Q95" s="140"/>
      <c r="R95" s="140"/>
      <c r="S95" s="141"/>
      <c r="T95" s="140"/>
      <c r="U95" s="140"/>
      <c r="V95" s="140"/>
      <c r="W95" s="140"/>
      <c r="X95" s="142"/>
      <c r="Y95" s="143"/>
    </row>
    <row r="96">
      <c r="A96" s="135">
        <v>87.0</v>
      </c>
      <c r="B96" s="135" t="s">
        <v>187</v>
      </c>
      <c r="C96" s="135" t="s">
        <v>72</v>
      </c>
      <c r="D96" s="136">
        <v>44681.0</v>
      </c>
      <c r="E96" s="135" t="str">
        <f>IFERROR(VLOOKUP(C96,'Công T5'!$C$7:$F$89,4,0),"")</f>
        <v>KT</v>
      </c>
      <c r="F96" s="137">
        <f>IFERROR(__xludf.DUMMYFUNCTION("INDEX(FILTER('Công T5'!$B$8:$C$89,'Công T5'!$C$8:$C$89=C96),1,1)"),10041.0)</f>
        <v>10041</v>
      </c>
      <c r="G96" s="138"/>
      <c r="H96" s="138"/>
      <c r="I96" s="138"/>
      <c r="J96" s="138"/>
      <c r="K96" s="139"/>
      <c r="L96" s="139"/>
      <c r="M96" s="139" t="s">
        <v>43</v>
      </c>
      <c r="N96" s="140"/>
      <c r="O96" s="140"/>
      <c r="P96" s="140"/>
      <c r="Q96" s="140"/>
      <c r="R96" s="140"/>
      <c r="S96" s="141"/>
      <c r="T96" s="140"/>
      <c r="U96" s="140"/>
      <c r="V96" s="140"/>
      <c r="W96" s="140"/>
      <c r="X96" s="142"/>
      <c r="Y96" s="143"/>
    </row>
    <row r="97">
      <c r="A97" s="135">
        <v>88.0</v>
      </c>
      <c r="B97" s="135" t="s">
        <v>187</v>
      </c>
      <c r="C97" s="135" t="s">
        <v>72</v>
      </c>
      <c r="D97" s="136">
        <v>44682.0</v>
      </c>
      <c r="E97" s="135" t="str">
        <f>IFERROR(VLOOKUP(C97,'Công T5'!$C$7:$F$89,4,0),"")</f>
        <v>KT</v>
      </c>
      <c r="F97" s="137">
        <f>IFERROR(__xludf.DUMMYFUNCTION("INDEX(FILTER('Công T5'!$B$8:$C$89,'Công T5'!$C$8:$C$89=C97),1,1)"),10041.0)</f>
        <v>10041</v>
      </c>
      <c r="G97" s="138"/>
      <c r="H97" s="138"/>
      <c r="I97" s="138"/>
      <c r="J97" s="138"/>
      <c r="K97" s="139"/>
      <c r="L97" s="139"/>
      <c r="M97" s="139" t="s">
        <v>43</v>
      </c>
      <c r="N97" s="140"/>
      <c r="O97" s="140"/>
      <c r="P97" s="140"/>
      <c r="Q97" s="140"/>
      <c r="R97" s="140"/>
      <c r="S97" s="141"/>
      <c r="T97" s="140"/>
      <c r="U97" s="140"/>
      <c r="V97" s="140"/>
      <c r="W97" s="140"/>
      <c r="X97" s="142"/>
      <c r="Y97" s="143"/>
    </row>
    <row r="98">
      <c r="A98" s="135">
        <v>89.0</v>
      </c>
      <c r="B98" s="135" t="s">
        <v>187</v>
      </c>
      <c r="C98" s="135" t="s">
        <v>94</v>
      </c>
      <c r="D98" s="136">
        <v>44681.0</v>
      </c>
      <c r="E98" s="135" t="str">
        <f>IFERROR(VLOOKUP(C98,'Công T5'!$C$7:$F$89,4,0),"")</f>
        <v>NL</v>
      </c>
      <c r="F98" s="137">
        <f>IFERROR(__xludf.DUMMYFUNCTION("INDEX(FILTER('Công T5'!$B$8:$C$89,'Công T5'!$C$8:$C$89=C98),1,1)"),10181.0)</f>
        <v>10181</v>
      </c>
      <c r="G98" s="138"/>
      <c r="H98" s="138"/>
      <c r="I98" s="138"/>
      <c r="J98" s="138"/>
      <c r="K98" s="139"/>
      <c r="L98" s="139"/>
      <c r="M98" s="139" t="s">
        <v>43</v>
      </c>
      <c r="N98" s="140"/>
      <c r="O98" s="140"/>
      <c r="P98" s="140"/>
      <c r="Q98" s="140"/>
      <c r="R98" s="140"/>
      <c r="S98" s="141"/>
      <c r="T98" s="140"/>
      <c r="U98" s="140"/>
      <c r="V98" s="140"/>
      <c r="W98" s="140"/>
      <c r="X98" s="142"/>
      <c r="Y98" s="143"/>
    </row>
    <row r="99">
      <c r="A99" s="135">
        <v>90.0</v>
      </c>
      <c r="B99" s="135" t="s">
        <v>187</v>
      </c>
      <c r="C99" s="135" t="s">
        <v>94</v>
      </c>
      <c r="D99" s="136">
        <v>44682.0</v>
      </c>
      <c r="E99" s="135" t="str">
        <f>IFERROR(VLOOKUP(C99,'Công T5'!$C$7:$F$89,4,0),"")</f>
        <v>NL</v>
      </c>
      <c r="F99" s="137">
        <f>IFERROR(__xludf.DUMMYFUNCTION("INDEX(FILTER('Công T5'!$B$8:$C$89,'Công T5'!$C$8:$C$89=C99),1,1)"),10181.0)</f>
        <v>10181</v>
      </c>
      <c r="G99" s="138"/>
      <c r="H99" s="138"/>
      <c r="I99" s="138"/>
      <c r="J99" s="138"/>
      <c r="K99" s="139"/>
      <c r="L99" s="139"/>
      <c r="M99" s="139" t="s">
        <v>43</v>
      </c>
      <c r="N99" s="140"/>
      <c r="O99" s="140"/>
      <c r="P99" s="140"/>
      <c r="Q99" s="140"/>
      <c r="R99" s="140"/>
      <c r="S99" s="141"/>
      <c r="T99" s="140"/>
      <c r="U99" s="140"/>
      <c r="V99" s="140"/>
      <c r="W99" s="140"/>
      <c r="X99" s="142"/>
      <c r="Y99" s="143"/>
    </row>
    <row r="100">
      <c r="A100" s="135">
        <v>91.0</v>
      </c>
      <c r="B100" s="135" t="s">
        <v>187</v>
      </c>
      <c r="C100" s="135" t="s">
        <v>95</v>
      </c>
      <c r="D100" s="136">
        <v>44681.0</v>
      </c>
      <c r="E100" s="135" t="str">
        <f>IFERROR(VLOOKUP(C100,'Công T5'!$C$7:$F$89,4,0),"")</f>
        <v>NL</v>
      </c>
      <c r="F100" s="137">
        <f>IFERROR(__xludf.DUMMYFUNCTION("INDEX(FILTER('Công T5'!$B$8:$C$89,'Công T5'!$C$8:$C$89=C100),1,1)"),10391.0)</f>
        <v>10391</v>
      </c>
      <c r="G100" s="138"/>
      <c r="H100" s="138"/>
      <c r="I100" s="138"/>
      <c r="J100" s="138"/>
      <c r="K100" s="139"/>
      <c r="L100" s="139"/>
      <c r="M100" s="139" t="s">
        <v>43</v>
      </c>
      <c r="N100" s="140"/>
      <c r="O100" s="140"/>
      <c r="P100" s="140"/>
      <c r="Q100" s="140"/>
      <c r="R100" s="140"/>
      <c r="S100" s="141"/>
      <c r="T100" s="140"/>
      <c r="U100" s="140"/>
      <c r="V100" s="140"/>
      <c r="W100" s="140"/>
      <c r="X100" s="142"/>
      <c r="Y100" s="143"/>
    </row>
    <row r="101">
      <c r="A101" s="135">
        <v>92.0</v>
      </c>
      <c r="B101" s="135" t="s">
        <v>187</v>
      </c>
      <c r="C101" s="135" t="s">
        <v>95</v>
      </c>
      <c r="D101" s="136">
        <v>44682.0</v>
      </c>
      <c r="E101" s="135" t="str">
        <f>IFERROR(VLOOKUP(C101,'Công T5'!$C$7:$F$89,4,0),"")</f>
        <v>NL</v>
      </c>
      <c r="F101" s="137">
        <f>IFERROR(__xludf.DUMMYFUNCTION("INDEX(FILTER('Công T5'!$B$8:$C$89,'Công T5'!$C$8:$C$89=C101),1,1)"),10391.0)</f>
        <v>10391</v>
      </c>
      <c r="G101" s="138"/>
      <c r="H101" s="138"/>
      <c r="I101" s="138"/>
      <c r="J101" s="138"/>
      <c r="K101" s="139"/>
      <c r="L101" s="139"/>
      <c r="M101" s="139" t="s">
        <v>43</v>
      </c>
      <c r="N101" s="140"/>
      <c r="O101" s="140"/>
      <c r="P101" s="140"/>
      <c r="Q101" s="140"/>
      <c r="R101" s="140"/>
      <c r="S101" s="141"/>
      <c r="T101" s="140"/>
      <c r="U101" s="140"/>
      <c r="V101" s="140"/>
      <c r="W101" s="140"/>
      <c r="X101" s="142"/>
      <c r="Y101" s="143"/>
    </row>
    <row r="102">
      <c r="A102" s="135">
        <v>93.0</v>
      </c>
      <c r="B102" s="135" t="s">
        <v>187</v>
      </c>
      <c r="C102" s="135" t="s">
        <v>96</v>
      </c>
      <c r="D102" s="136">
        <v>44681.0</v>
      </c>
      <c r="E102" s="135" t="str">
        <f>IFERROR(VLOOKUP(C102,'Công T5'!$C$7:$F$89,4,0),"")</f>
        <v>NL</v>
      </c>
      <c r="F102" s="137">
        <f>IFERROR(__xludf.DUMMYFUNCTION("INDEX(FILTER('Công T5'!$B$8:$C$89,'Công T5'!$C$8:$C$89=C102),1,1)"),10037.0)</f>
        <v>10037</v>
      </c>
      <c r="G102" s="138"/>
      <c r="H102" s="138"/>
      <c r="I102" s="138"/>
      <c r="J102" s="138"/>
      <c r="K102" s="139"/>
      <c r="L102" s="139"/>
      <c r="M102" s="139" t="s">
        <v>43</v>
      </c>
      <c r="N102" s="140"/>
      <c r="O102" s="140"/>
      <c r="P102" s="140"/>
      <c r="Q102" s="140"/>
      <c r="R102" s="140"/>
      <c r="S102" s="141"/>
      <c r="T102" s="140"/>
      <c r="U102" s="140"/>
      <c r="V102" s="140"/>
      <c r="W102" s="140"/>
      <c r="X102" s="142"/>
      <c r="Y102" s="143"/>
    </row>
    <row r="103">
      <c r="A103" s="135">
        <v>94.0</v>
      </c>
      <c r="B103" s="135" t="s">
        <v>187</v>
      </c>
      <c r="C103" s="135" t="s">
        <v>96</v>
      </c>
      <c r="D103" s="136">
        <v>44682.0</v>
      </c>
      <c r="E103" s="135" t="str">
        <f>IFERROR(VLOOKUP(C103,'Công T5'!$C$7:$F$89,4,0),"")</f>
        <v>NL</v>
      </c>
      <c r="F103" s="137">
        <f>IFERROR(__xludf.DUMMYFUNCTION("INDEX(FILTER('Công T5'!$B$8:$C$89,'Công T5'!$C$8:$C$89=C103),1,1)"),10037.0)</f>
        <v>10037</v>
      </c>
      <c r="G103" s="138"/>
      <c r="H103" s="138"/>
      <c r="I103" s="138"/>
      <c r="J103" s="138"/>
      <c r="K103" s="139"/>
      <c r="L103" s="139"/>
      <c r="M103" s="139" t="s">
        <v>43</v>
      </c>
      <c r="N103" s="140"/>
      <c r="O103" s="140"/>
      <c r="P103" s="140"/>
      <c r="Q103" s="140"/>
      <c r="R103" s="140"/>
      <c r="S103" s="141"/>
      <c r="T103" s="140"/>
      <c r="U103" s="140"/>
      <c r="V103" s="140"/>
      <c r="W103" s="140"/>
      <c r="X103" s="142"/>
      <c r="Y103" s="143"/>
    </row>
    <row r="104">
      <c r="A104" s="135">
        <v>95.0</v>
      </c>
      <c r="B104" s="135" t="s">
        <v>187</v>
      </c>
      <c r="C104" s="135" t="s">
        <v>97</v>
      </c>
      <c r="D104" s="136">
        <v>44681.0</v>
      </c>
      <c r="E104" s="135" t="str">
        <f>IFERROR(VLOOKUP(C104,'Công T5'!$C$7:$F$89,4,0),"")</f>
        <v>NL</v>
      </c>
      <c r="F104" s="137">
        <f>IFERROR(__xludf.DUMMYFUNCTION("INDEX(FILTER('Công T5'!$B$8:$C$89,'Công T5'!$C$8:$C$89=C104),1,1)"),10023.0)</f>
        <v>10023</v>
      </c>
      <c r="G104" s="138"/>
      <c r="H104" s="138"/>
      <c r="I104" s="138"/>
      <c r="J104" s="138"/>
      <c r="K104" s="139"/>
      <c r="L104" s="139"/>
      <c r="M104" s="139" t="s">
        <v>43</v>
      </c>
      <c r="N104" s="140"/>
      <c r="O104" s="140"/>
      <c r="P104" s="140"/>
      <c r="Q104" s="140"/>
      <c r="R104" s="140"/>
      <c r="S104" s="141"/>
      <c r="T104" s="140"/>
      <c r="U104" s="140"/>
      <c r="V104" s="140"/>
      <c r="W104" s="140"/>
      <c r="X104" s="142"/>
      <c r="Y104" s="143"/>
    </row>
    <row r="105">
      <c r="A105" s="135">
        <v>96.0</v>
      </c>
      <c r="B105" s="135" t="s">
        <v>187</v>
      </c>
      <c r="C105" s="135" t="s">
        <v>97</v>
      </c>
      <c r="D105" s="136">
        <v>44682.0</v>
      </c>
      <c r="E105" s="135" t="str">
        <f>IFERROR(VLOOKUP(C105,'Công T5'!$C$7:$F$89,4,0),"")</f>
        <v>NL</v>
      </c>
      <c r="F105" s="137">
        <f>IFERROR(__xludf.DUMMYFUNCTION("INDEX(FILTER('Công T5'!$B$8:$C$89,'Công T5'!$C$8:$C$89=C105),1,1)"),10023.0)</f>
        <v>10023</v>
      </c>
      <c r="G105" s="138"/>
      <c r="H105" s="138"/>
      <c r="I105" s="138"/>
      <c r="J105" s="138"/>
      <c r="K105" s="139"/>
      <c r="L105" s="139"/>
      <c r="M105" s="139" t="s">
        <v>43</v>
      </c>
      <c r="N105" s="140"/>
      <c r="O105" s="140"/>
      <c r="P105" s="140"/>
      <c r="Q105" s="140"/>
      <c r="R105" s="140"/>
      <c r="S105" s="141"/>
      <c r="T105" s="140"/>
      <c r="U105" s="140"/>
      <c r="V105" s="140"/>
      <c r="W105" s="140"/>
      <c r="X105" s="142"/>
      <c r="Y105" s="143"/>
    </row>
    <row r="106">
      <c r="A106" s="135">
        <v>97.0</v>
      </c>
      <c r="B106" s="135" t="s">
        <v>187</v>
      </c>
      <c r="C106" s="135" t="s">
        <v>92</v>
      </c>
      <c r="D106" s="136">
        <v>44681.0</v>
      </c>
      <c r="E106" s="135" t="str">
        <f>IFERROR(VLOOKUP(C106,'Công T5'!$C$7:$F$89,4,0),"")</f>
        <v>NL</v>
      </c>
      <c r="F106" s="137">
        <f>IFERROR(__xludf.DUMMYFUNCTION("INDEX(FILTER('Công T5'!$B$8:$C$89,'Công T5'!$C$8:$C$89=C106),1,1)"),10218.0)</f>
        <v>10218</v>
      </c>
      <c r="G106" s="138"/>
      <c r="H106" s="138"/>
      <c r="I106" s="138"/>
      <c r="J106" s="138"/>
      <c r="K106" s="139"/>
      <c r="L106" s="139"/>
      <c r="M106" s="139" t="s">
        <v>43</v>
      </c>
      <c r="N106" s="140"/>
      <c r="O106" s="140"/>
      <c r="P106" s="140"/>
      <c r="Q106" s="140"/>
      <c r="R106" s="140"/>
      <c r="S106" s="141"/>
      <c r="T106" s="140"/>
      <c r="U106" s="140"/>
      <c r="V106" s="140"/>
      <c r="W106" s="140"/>
      <c r="X106" s="142"/>
      <c r="Y106" s="143"/>
    </row>
    <row r="107">
      <c r="A107" s="135">
        <v>98.0</v>
      </c>
      <c r="B107" s="135" t="s">
        <v>187</v>
      </c>
      <c r="C107" s="135" t="s">
        <v>92</v>
      </c>
      <c r="D107" s="136">
        <v>44682.0</v>
      </c>
      <c r="E107" s="135" t="str">
        <f>IFERROR(VLOOKUP(C107,'Công T5'!$C$7:$F$89,4,0),"")</f>
        <v>NL</v>
      </c>
      <c r="F107" s="137">
        <f>IFERROR(__xludf.DUMMYFUNCTION("INDEX(FILTER('Công T5'!$B$8:$C$89,'Công T5'!$C$8:$C$89=C107),1,1)"),10218.0)</f>
        <v>10218</v>
      </c>
      <c r="G107" s="138"/>
      <c r="H107" s="138"/>
      <c r="I107" s="138"/>
      <c r="J107" s="138"/>
      <c r="K107" s="139"/>
      <c r="L107" s="139"/>
      <c r="M107" s="139" t="s">
        <v>43</v>
      </c>
      <c r="N107" s="140"/>
      <c r="O107" s="140"/>
      <c r="P107" s="140"/>
      <c r="Q107" s="140"/>
      <c r="R107" s="140"/>
      <c r="S107" s="141"/>
      <c r="T107" s="140"/>
      <c r="U107" s="140"/>
      <c r="V107" s="140"/>
      <c r="W107" s="140"/>
      <c r="X107" s="142"/>
      <c r="Y107" s="143"/>
    </row>
    <row r="108">
      <c r="A108" s="135">
        <v>99.0</v>
      </c>
      <c r="B108" s="135" t="s">
        <v>187</v>
      </c>
      <c r="C108" s="135" t="s">
        <v>98</v>
      </c>
      <c r="D108" s="136">
        <v>44681.0</v>
      </c>
      <c r="E108" s="135" t="str">
        <f>IFERROR(VLOOKUP(C108,'Công T5'!$C$7:$F$89,4,0),"")</f>
        <v>NL</v>
      </c>
      <c r="F108" s="137">
        <f>IFERROR(__xludf.DUMMYFUNCTION("INDEX(FILTER('Công T5'!$B$8:$C$89,'Công T5'!$C$8:$C$89=C108),1,1)"),10158.0)</f>
        <v>10158</v>
      </c>
      <c r="G108" s="138"/>
      <c r="H108" s="138"/>
      <c r="I108" s="138"/>
      <c r="J108" s="138"/>
      <c r="K108" s="139"/>
      <c r="L108" s="139"/>
      <c r="M108" s="139" t="s">
        <v>43</v>
      </c>
      <c r="N108" s="140"/>
      <c r="O108" s="140"/>
      <c r="P108" s="140"/>
      <c r="Q108" s="140"/>
      <c r="R108" s="140"/>
      <c r="S108" s="141"/>
      <c r="T108" s="140"/>
      <c r="U108" s="140"/>
      <c r="V108" s="140"/>
      <c r="W108" s="140"/>
      <c r="X108" s="142"/>
      <c r="Y108" s="143"/>
    </row>
    <row r="109">
      <c r="A109" s="135">
        <v>100.0</v>
      </c>
      <c r="B109" s="135" t="s">
        <v>187</v>
      </c>
      <c r="C109" s="135" t="s">
        <v>98</v>
      </c>
      <c r="D109" s="136">
        <v>44682.0</v>
      </c>
      <c r="E109" s="135" t="str">
        <f>IFERROR(VLOOKUP(C109,'Công T5'!$C$7:$F$89,4,0),"")</f>
        <v>NL</v>
      </c>
      <c r="F109" s="137">
        <f>IFERROR(__xludf.DUMMYFUNCTION("INDEX(FILTER('Công T5'!$B$8:$C$89,'Công T5'!$C$8:$C$89=C109),1,1)"),10158.0)</f>
        <v>10158</v>
      </c>
      <c r="G109" s="138"/>
      <c r="H109" s="138"/>
      <c r="I109" s="138"/>
      <c r="J109" s="138"/>
      <c r="K109" s="139"/>
      <c r="L109" s="139"/>
      <c r="M109" s="139" t="s">
        <v>43</v>
      </c>
      <c r="N109" s="140"/>
      <c r="O109" s="140"/>
      <c r="P109" s="140"/>
      <c r="Q109" s="140"/>
      <c r="R109" s="140"/>
      <c r="S109" s="141"/>
      <c r="T109" s="140"/>
      <c r="U109" s="140"/>
      <c r="V109" s="140"/>
      <c r="W109" s="140"/>
      <c r="X109" s="142"/>
      <c r="Y109" s="143"/>
    </row>
    <row r="110">
      <c r="A110" s="135">
        <v>101.0</v>
      </c>
      <c r="B110" s="135" t="s">
        <v>187</v>
      </c>
      <c r="C110" s="135" t="s">
        <v>99</v>
      </c>
      <c r="D110" s="136">
        <v>44681.0</v>
      </c>
      <c r="E110" s="135" t="str">
        <f>IFERROR(VLOOKUP(C110,'Công T5'!$C$7:$F$89,4,0),"")</f>
        <v>NL</v>
      </c>
      <c r="F110" s="137">
        <f>IFERROR(__xludf.DUMMYFUNCTION("INDEX(FILTER('Công T5'!$B$8:$C$89,'Công T5'!$C$8:$C$89=C110),1,1)"),10359.0)</f>
        <v>10359</v>
      </c>
      <c r="G110" s="138"/>
      <c r="H110" s="138"/>
      <c r="I110" s="138"/>
      <c r="J110" s="138"/>
      <c r="K110" s="139"/>
      <c r="L110" s="139"/>
      <c r="M110" s="139" t="s">
        <v>43</v>
      </c>
      <c r="N110" s="140"/>
      <c r="O110" s="140"/>
      <c r="P110" s="140"/>
      <c r="Q110" s="140"/>
      <c r="R110" s="140"/>
      <c r="S110" s="141"/>
      <c r="T110" s="140"/>
      <c r="U110" s="140"/>
      <c r="V110" s="140"/>
      <c r="W110" s="140"/>
      <c r="X110" s="142"/>
      <c r="Y110" s="143"/>
    </row>
    <row r="111">
      <c r="A111" s="135">
        <v>102.0</v>
      </c>
      <c r="B111" s="135" t="s">
        <v>187</v>
      </c>
      <c r="C111" s="135" t="s">
        <v>99</v>
      </c>
      <c r="D111" s="136">
        <v>44682.0</v>
      </c>
      <c r="E111" s="135" t="str">
        <f>IFERROR(VLOOKUP(C111,'Công T5'!$C$7:$F$89,4,0),"")</f>
        <v>NL</v>
      </c>
      <c r="F111" s="137">
        <f>IFERROR(__xludf.DUMMYFUNCTION("INDEX(FILTER('Công T5'!$B$8:$C$89,'Công T5'!$C$8:$C$89=C111),1,1)"),10359.0)</f>
        <v>10359</v>
      </c>
      <c r="G111" s="138"/>
      <c r="H111" s="138"/>
      <c r="I111" s="138"/>
      <c r="J111" s="138"/>
      <c r="K111" s="139"/>
      <c r="L111" s="139"/>
      <c r="M111" s="139" t="s">
        <v>43</v>
      </c>
      <c r="N111" s="140"/>
      <c r="O111" s="140"/>
      <c r="P111" s="140"/>
      <c r="Q111" s="140"/>
      <c r="R111" s="140"/>
      <c r="S111" s="141"/>
      <c r="T111" s="140"/>
      <c r="U111" s="140"/>
      <c r="V111" s="140"/>
      <c r="W111" s="140"/>
      <c r="X111" s="142"/>
      <c r="Y111" s="143"/>
    </row>
    <row r="112">
      <c r="A112" s="135">
        <v>103.0</v>
      </c>
      <c r="B112" s="135" t="s">
        <v>187</v>
      </c>
      <c r="C112" s="135" t="s">
        <v>100</v>
      </c>
      <c r="D112" s="136">
        <v>44681.0</v>
      </c>
      <c r="E112" s="135" t="str">
        <f>IFERROR(VLOOKUP(C112,'Công T5'!$C$7:$F$89,4,0),"")</f>
        <v>NL</v>
      </c>
      <c r="F112" s="137">
        <f>IFERROR(__xludf.DUMMYFUNCTION("INDEX(FILTER('Công T5'!$B$8:$C$89,'Công T5'!$C$8:$C$89=C112),1,1)"),10038.0)</f>
        <v>10038</v>
      </c>
      <c r="G112" s="138"/>
      <c r="H112" s="138"/>
      <c r="I112" s="138"/>
      <c r="J112" s="138"/>
      <c r="K112" s="139"/>
      <c r="L112" s="139"/>
      <c r="M112" s="139" t="s">
        <v>43</v>
      </c>
      <c r="N112" s="140"/>
      <c r="O112" s="140"/>
      <c r="P112" s="140"/>
      <c r="Q112" s="140"/>
      <c r="R112" s="140"/>
      <c r="S112" s="141"/>
      <c r="T112" s="140"/>
      <c r="U112" s="140"/>
      <c r="V112" s="140"/>
      <c r="W112" s="140"/>
      <c r="X112" s="142"/>
      <c r="Y112" s="143"/>
    </row>
    <row r="113">
      <c r="A113" s="135">
        <v>104.0</v>
      </c>
      <c r="B113" s="135" t="s">
        <v>187</v>
      </c>
      <c r="C113" s="135" t="s">
        <v>100</v>
      </c>
      <c r="D113" s="136">
        <v>44682.0</v>
      </c>
      <c r="E113" s="135" t="str">
        <f>IFERROR(VLOOKUP(C113,'Công T5'!$C$7:$F$89,4,0),"")</f>
        <v>NL</v>
      </c>
      <c r="F113" s="137">
        <f>IFERROR(__xludf.DUMMYFUNCTION("INDEX(FILTER('Công T5'!$B$8:$C$89,'Công T5'!$C$8:$C$89=C113),1,1)"),10038.0)</f>
        <v>10038</v>
      </c>
      <c r="G113" s="138"/>
      <c r="H113" s="138"/>
      <c r="I113" s="138"/>
      <c r="J113" s="138"/>
      <c r="K113" s="139"/>
      <c r="L113" s="139"/>
      <c r="M113" s="139" t="s">
        <v>43</v>
      </c>
      <c r="N113" s="140"/>
      <c r="O113" s="140"/>
      <c r="P113" s="140"/>
      <c r="Q113" s="140"/>
      <c r="R113" s="140"/>
      <c r="S113" s="141"/>
      <c r="T113" s="140"/>
      <c r="U113" s="140"/>
      <c r="V113" s="140"/>
      <c r="W113" s="140"/>
      <c r="X113" s="142"/>
      <c r="Y113" s="143"/>
    </row>
    <row r="114">
      <c r="A114" s="135">
        <v>105.0</v>
      </c>
      <c r="B114" s="135" t="s">
        <v>187</v>
      </c>
      <c r="C114" s="135" t="s">
        <v>101</v>
      </c>
      <c r="D114" s="136">
        <v>44681.0</v>
      </c>
      <c r="E114" s="135" t="str">
        <f>IFERROR(VLOOKUP(C114,'Công T5'!$C$7:$F$89,4,0),"")</f>
        <v>NL</v>
      </c>
      <c r="F114" s="137">
        <f>IFERROR(__xludf.DUMMYFUNCTION("INDEX(FILTER('Công T5'!$B$8:$C$89,'Công T5'!$C$8:$C$89=C114),1,1)"),10045.0)</f>
        <v>10045</v>
      </c>
      <c r="G114" s="138"/>
      <c r="H114" s="138"/>
      <c r="I114" s="138"/>
      <c r="J114" s="138"/>
      <c r="K114" s="139"/>
      <c r="L114" s="139"/>
      <c r="M114" s="139" t="s">
        <v>43</v>
      </c>
      <c r="N114" s="140"/>
      <c r="O114" s="140"/>
      <c r="P114" s="140"/>
      <c r="Q114" s="140"/>
      <c r="R114" s="140"/>
      <c r="S114" s="141"/>
      <c r="T114" s="140"/>
      <c r="U114" s="140"/>
      <c r="V114" s="140"/>
      <c r="W114" s="140"/>
      <c r="X114" s="142"/>
      <c r="Y114" s="143"/>
    </row>
    <row r="115">
      <c r="A115" s="135">
        <v>106.0</v>
      </c>
      <c r="B115" s="135" t="s">
        <v>187</v>
      </c>
      <c r="C115" s="135" t="s">
        <v>101</v>
      </c>
      <c r="D115" s="136">
        <v>44682.0</v>
      </c>
      <c r="E115" s="135" t="str">
        <f>IFERROR(VLOOKUP(C115,'Công T5'!$C$7:$F$89,4,0),"")</f>
        <v>NL</v>
      </c>
      <c r="F115" s="137">
        <f>IFERROR(__xludf.DUMMYFUNCTION("INDEX(FILTER('Công T5'!$B$8:$C$89,'Công T5'!$C$8:$C$89=C115),1,1)"),10045.0)</f>
        <v>10045</v>
      </c>
      <c r="G115" s="138"/>
      <c r="H115" s="138"/>
      <c r="I115" s="138"/>
      <c r="J115" s="138"/>
      <c r="K115" s="139"/>
      <c r="L115" s="139"/>
      <c r="M115" s="139" t="s">
        <v>43</v>
      </c>
      <c r="N115" s="140"/>
      <c r="O115" s="140"/>
      <c r="P115" s="140"/>
      <c r="Q115" s="140"/>
      <c r="R115" s="140"/>
      <c r="S115" s="141"/>
      <c r="T115" s="140"/>
      <c r="U115" s="140"/>
      <c r="V115" s="140"/>
      <c r="W115" s="140"/>
      <c r="X115" s="142"/>
      <c r="Y115" s="143"/>
    </row>
    <row r="116">
      <c r="A116" s="135">
        <v>107.0</v>
      </c>
      <c r="B116" s="135" t="s">
        <v>187</v>
      </c>
      <c r="C116" s="135" t="s">
        <v>102</v>
      </c>
      <c r="D116" s="136">
        <v>44681.0</v>
      </c>
      <c r="E116" s="135" t="str">
        <f>IFERROR(VLOOKUP(C116,'Công T5'!$C$7:$F$89,4,0),"")</f>
        <v>NL</v>
      </c>
      <c r="F116" s="137">
        <f>IFERROR(__xludf.DUMMYFUNCTION("INDEX(FILTER('Công T5'!$B$8:$C$89,'Công T5'!$C$8:$C$89=C116),1,1)"),10106.0)</f>
        <v>10106</v>
      </c>
      <c r="G116" s="138"/>
      <c r="H116" s="138"/>
      <c r="I116" s="138"/>
      <c r="J116" s="138"/>
      <c r="K116" s="139"/>
      <c r="L116" s="139"/>
      <c r="M116" s="139" t="s">
        <v>43</v>
      </c>
      <c r="N116" s="140"/>
      <c r="O116" s="140"/>
      <c r="P116" s="140"/>
      <c r="Q116" s="140"/>
      <c r="R116" s="140"/>
      <c r="S116" s="141"/>
      <c r="T116" s="140"/>
      <c r="U116" s="140"/>
      <c r="V116" s="140"/>
      <c r="W116" s="140"/>
      <c r="X116" s="142"/>
      <c r="Y116" s="143"/>
    </row>
    <row r="117">
      <c r="A117" s="135">
        <v>108.0</v>
      </c>
      <c r="B117" s="135" t="s">
        <v>187</v>
      </c>
      <c r="C117" s="135" t="s">
        <v>102</v>
      </c>
      <c r="D117" s="136">
        <v>44682.0</v>
      </c>
      <c r="E117" s="135" t="str">
        <f>IFERROR(VLOOKUP(C117,'Công T5'!$C$7:$F$89,4,0),"")</f>
        <v>NL</v>
      </c>
      <c r="F117" s="137">
        <f>IFERROR(__xludf.DUMMYFUNCTION("INDEX(FILTER('Công T5'!$B$8:$C$89,'Công T5'!$C$8:$C$89=C117),1,1)"),10106.0)</f>
        <v>10106</v>
      </c>
      <c r="G117" s="138"/>
      <c r="H117" s="138"/>
      <c r="I117" s="138"/>
      <c r="J117" s="138"/>
      <c r="K117" s="139"/>
      <c r="L117" s="139"/>
      <c r="M117" s="139" t="s">
        <v>43</v>
      </c>
      <c r="N117" s="140"/>
      <c r="O117" s="140"/>
      <c r="P117" s="140"/>
      <c r="Q117" s="140"/>
      <c r="R117" s="140"/>
      <c r="S117" s="141"/>
      <c r="T117" s="140"/>
      <c r="U117" s="140"/>
      <c r="V117" s="140"/>
      <c r="W117" s="140"/>
      <c r="X117" s="142"/>
      <c r="Y117" s="143"/>
    </row>
    <row r="118">
      <c r="A118" s="135">
        <v>109.0</v>
      </c>
      <c r="B118" s="135" t="s">
        <v>187</v>
      </c>
      <c r="C118" s="135" t="s">
        <v>103</v>
      </c>
      <c r="D118" s="136">
        <v>44681.0</v>
      </c>
      <c r="E118" s="135" t="str">
        <f>IFERROR(VLOOKUP(C118,'Công T5'!$C$7:$F$89,4,0),"")</f>
        <v>NL</v>
      </c>
      <c r="F118" s="137">
        <f>IFERROR(__xludf.DUMMYFUNCTION("INDEX(FILTER('Công T5'!$B$8:$C$89,'Công T5'!$C$8:$C$89=C118),1,1)"),10274.0)</f>
        <v>10274</v>
      </c>
      <c r="G118" s="138"/>
      <c r="H118" s="138"/>
      <c r="I118" s="138"/>
      <c r="J118" s="138"/>
      <c r="K118" s="139"/>
      <c r="L118" s="139"/>
      <c r="M118" s="139" t="s">
        <v>43</v>
      </c>
      <c r="N118" s="140"/>
      <c r="O118" s="140"/>
      <c r="P118" s="140"/>
      <c r="Q118" s="140"/>
      <c r="R118" s="140"/>
      <c r="S118" s="141"/>
      <c r="T118" s="140"/>
      <c r="U118" s="140"/>
      <c r="V118" s="140"/>
      <c r="W118" s="140"/>
      <c r="X118" s="142"/>
      <c r="Y118" s="143"/>
    </row>
    <row r="119">
      <c r="A119" s="135">
        <v>110.0</v>
      </c>
      <c r="B119" s="135" t="s">
        <v>187</v>
      </c>
      <c r="C119" s="135" t="s">
        <v>103</v>
      </c>
      <c r="D119" s="136">
        <v>44682.0</v>
      </c>
      <c r="E119" s="135" t="str">
        <f>IFERROR(VLOOKUP(C119,'Công T5'!$C$7:$F$89,4,0),"")</f>
        <v>NL</v>
      </c>
      <c r="F119" s="137">
        <f>IFERROR(__xludf.DUMMYFUNCTION("INDEX(FILTER('Công T5'!$B$8:$C$89,'Công T5'!$C$8:$C$89=C119),1,1)"),10274.0)</f>
        <v>10274</v>
      </c>
      <c r="G119" s="138"/>
      <c r="H119" s="138"/>
      <c r="I119" s="138"/>
      <c r="J119" s="138"/>
      <c r="K119" s="139"/>
      <c r="L119" s="139"/>
      <c r="M119" s="139" t="s">
        <v>43</v>
      </c>
      <c r="N119" s="140"/>
      <c r="O119" s="140"/>
      <c r="P119" s="140"/>
      <c r="Q119" s="140"/>
      <c r="R119" s="140"/>
      <c r="S119" s="141"/>
      <c r="T119" s="140"/>
      <c r="U119" s="140"/>
      <c r="V119" s="140"/>
      <c r="W119" s="140"/>
      <c r="X119" s="142"/>
      <c r="Y119" s="143"/>
    </row>
    <row r="120">
      <c r="A120" s="135">
        <v>111.0</v>
      </c>
      <c r="B120" s="135" t="s">
        <v>187</v>
      </c>
      <c r="C120" s="135" t="s">
        <v>104</v>
      </c>
      <c r="D120" s="136">
        <v>44681.0</v>
      </c>
      <c r="E120" s="135" t="str">
        <f>IFERROR(VLOOKUP(C120,'Công T5'!$C$7:$F$89,4,0),"")</f>
        <v>NL</v>
      </c>
      <c r="F120" s="137">
        <f>IFERROR(__xludf.DUMMYFUNCTION("INDEX(FILTER('Công T5'!$B$8:$C$89,'Công T5'!$C$8:$C$89=C120),1,1)"),10216.0)</f>
        <v>10216</v>
      </c>
      <c r="G120" s="138"/>
      <c r="H120" s="138"/>
      <c r="I120" s="138"/>
      <c r="J120" s="138"/>
      <c r="K120" s="139"/>
      <c r="L120" s="139"/>
      <c r="M120" s="139" t="s">
        <v>43</v>
      </c>
      <c r="N120" s="140"/>
      <c r="O120" s="140"/>
      <c r="P120" s="140"/>
      <c r="Q120" s="140"/>
      <c r="R120" s="140"/>
      <c r="S120" s="141"/>
      <c r="T120" s="140"/>
      <c r="U120" s="140"/>
      <c r="V120" s="140"/>
      <c r="W120" s="140"/>
      <c r="X120" s="142"/>
      <c r="Y120" s="143"/>
    </row>
    <row r="121">
      <c r="A121" s="135">
        <v>112.0</v>
      </c>
      <c r="B121" s="135" t="s">
        <v>187</v>
      </c>
      <c r="C121" s="135" t="s">
        <v>104</v>
      </c>
      <c r="D121" s="136">
        <v>44682.0</v>
      </c>
      <c r="E121" s="135" t="str">
        <f>IFERROR(VLOOKUP(C121,'Công T5'!$C$7:$F$89,4,0),"")</f>
        <v>NL</v>
      </c>
      <c r="F121" s="137">
        <f>IFERROR(__xludf.DUMMYFUNCTION("INDEX(FILTER('Công T5'!$B$8:$C$89,'Công T5'!$C$8:$C$89=C121),1,1)"),10216.0)</f>
        <v>10216</v>
      </c>
      <c r="G121" s="138"/>
      <c r="H121" s="138"/>
      <c r="I121" s="138"/>
      <c r="J121" s="138"/>
      <c r="K121" s="139"/>
      <c r="L121" s="139"/>
      <c r="M121" s="139" t="s">
        <v>43</v>
      </c>
      <c r="N121" s="140"/>
      <c r="O121" s="140"/>
      <c r="P121" s="140"/>
      <c r="Q121" s="140"/>
      <c r="R121" s="140"/>
      <c r="S121" s="141"/>
      <c r="T121" s="140"/>
      <c r="U121" s="140"/>
      <c r="V121" s="140"/>
      <c r="W121" s="140"/>
      <c r="X121" s="142"/>
      <c r="Y121" s="143"/>
    </row>
    <row r="122">
      <c r="A122" s="135">
        <v>113.0</v>
      </c>
      <c r="B122" s="135" t="s">
        <v>187</v>
      </c>
      <c r="C122" s="135" t="s">
        <v>105</v>
      </c>
      <c r="D122" s="136">
        <v>44681.0</v>
      </c>
      <c r="E122" s="135" t="str">
        <f>IFERROR(VLOOKUP(C122,'Công T5'!$C$7:$F$89,4,0),"")</f>
        <v>NL</v>
      </c>
      <c r="F122" s="137">
        <f>IFERROR(__xludf.DUMMYFUNCTION("INDEX(FILTER('Công T5'!$B$8:$C$89,'Công T5'!$C$8:$C$89=C122),1,1)"),10379.0)</f>
        <v>10379</v>
      </c>
      <c r="G122" s="138"/>
      <c r="H122" s="138"/>
      <c r="I122" s="138"/>
      <c r="J122" s="138"/>
      <c r="K122" s="139"/>
      <c r="L122" s="139"/>
      <c r="M122" s="139" t="s">
        <v>43</v>
      </c>
      <c r="N122" s="140"/>
      <c r="O122" s="140"/>
      <c r="P122" s="140"/>
      <c r="Q122" s="140"/>
      <c r="R122" s="140"/>
      <c r="S122" s="141"/>
      <c r="T122" s="140"/>
      <c r="U122" s="140"/>
      <c r="V122" s="140"/>
      <c r="W122" s="140"/>
      <c r="X122" s="142"/>
      <c r="Y122" s="143"/>
    </row>
    <row r="123">
      <c r="A123" s="135">
        <v>114.0</v>
      </c>
      <c r="B123" s="135" t="s">
        <v>187</v>
      </c>
      <c r="C123" s="135" t="s">
        <v>105</v>
      </c>
      <c r="D123" s="136">
        <v>44682.0</v>
      </c>
      <c r="E123" s="135" t="str">
        <f>IFERROR(VLOOKUP(C123,'Công T5'!$C$7:$F$89,4,0),"")</f>
        <v>NL</v>
      </c>
      <c r="F123" s="137">
        <f>IFERROR(__xludf.DUMMYFUNCTION("INDEX(FILTER('Công T5'!$B$8:$C$89,'Công T5'!$C$8:$C$89=C123),1,1)"),10379.0)</f>
        <v>10379</v>
      </c>
      <c r="G123" s="138"/>
      <c r="H123" s="138"/>
      <c r="I123" s="138"/>
      <c r="J123" s="138"/>
      <c r="K123" s="139"/>
      <c r="L123" s="139"/>
      <c r="M123" s="139" t="s">
        <v>43</v>
      </c>
      <c r="N123" s="140"/>
      <c r="O123" s="140"/>
      <c r="P123" s="140"/>
      <c r="Q123" s="140"/>
      <c r="R123" s="140"/>
      <c r="S123" s="141"/>
      <c r="T123" s="140"/>
      <c r="U123" s="140"/>
      <c r="V123" s="140"/>
      <c r="W123" s="140"/>
      <c r="X123" s="142"/>
      <c r="Y123" s="143"/>
    </row>
    <row r="124">
      <c r="A124" s="135">
        <v>115.0</v>
      </c>
      <c r="B124" s="135" t="s">
        <v>187</v>
      </c>
      <c r="C124" s="135" t="s">
        <v>106</v>
      </c>
      <c r="D124" s="136">
        <v>44681.0</v>
      </c>
      <c r="E124" s="135" t="str">
        <f>IFERROR(VLOOKUP(C124,'Công T5'!$C$7:$F$89,4,0),"")</f>
        <v>NL</v>
      </c>
      <c r="F124" s="137">
        <f>IFERROR(__xludf.DUMMYFUNCTION("INDEX(FILTER('Công T5'!$B$8:$C$89,'Công T5'!$C$8:$C$89=C124),1,1)"),10202.0)</f>
        <v>10202</v>
      </c>
      <c r="G124" s="138"/>
      <c r="H124" s="138"/>
      <c r="I124" s="138"/>
      <c r="J124" s="138"/>
      <c r="K124" s="139"/>
      <c r="L124" s="139"/>
      <c r="M124" s="139" t="s">
        <v>43</v>
      </c>
      <c r="N124" s="140"/>
      <c r="O124" s="140"/>
      <c r="P124" s="140"/>
      <c r="Q124" s="140"/>
      <c r="R124" s="140"/>
      <c r="S124" s="141"/>
      <c r="T124" s="140"/>
      <c r="U124" s="140"/>
      <c r="V124" s="140"/>
      <c r="W124" s="140"/>
      <c r="X124" s="142"/>
      <c r="Y124" s="143"/>
    </row>
    <row r="125">
      <c r="A125" s="135">
        <v>116.0</v>
      </c>
      <c r="B125" s="135" t="s">
        <v>187</v>
      </c>
      <c r="C125" s="135" t="s">
        <v>106</v>
      </c>
      <c r="D125" s="136">
        <v>44682.0</v>
      </c>
      <c r="E125" s="135" t="str">
        <f>IFERROR(VLOOKUP(C125,'Công T5'!$C$7:$F$89,4,0),"")</f>
        <v>NL</v>
      </c>
      <c r="F125" s="137">
        <f>IFERROR(__xludf.DUMMYFUNCTION("INDEX(FILTER('Công T5'!$B$8:$C$89,'Công T5'!$C$8:$C$89=C125),1,1)"),10202.0)</f>
        <v>10202</v>
      </c>
      <c r="G125" s="138"/>
      <c r="H125" s="138"/>
      <c r="I125" s="138"/>
      <c r="J125" s="138"/>
      <c r="K125" s="139"/>
      <c r="L125" s="139"/>
      <c r="M125" s="139" t="s">
        <v>43</v>
      </c>
      <c r="N125" s="140"/>
      <c r="O125" s="140"/>
      <c r="P125" s="140"/>
      <c r="Q125" s="140"/>
      <c r="R125" s="140"/>
      <c r="S125" s="141"/>
      <c r="T125" s="140"/>
      <c r="U125" s="140"/>
      <c r="V125" s="140"/>
      <c r="W125" s="140"/>
      <c r="X125" s="142"/>
      <c r="Y125" s="143"/>
    </row>
    <row r="126">
      <c r="A126" s="135">
        <v>117.0</v>
      </c>
      <c r="B126" s="135" t="s">
        <v>187</v>
      </c>
      <c r="C126" s="135" t="s">
        <v>107</v>
      </c>
      <c r="D126" s="136">
        <v>44681.0</v>
      </c>
      <c r="E126" s="135" t="str">
        <f>IFERROR(VLOOKUP(C126,'Công T5'!$C$7:$F$89,4,0),"")</f>
        <v>NL</v>
      </c>
      <c r="F126" s="137">
        <f>IFERROR(__xludf.DUMMYFUNCTION("INDEX(FILTER('Công T5'!$B$8:$C$89,'Công T5'!$C$8:$C$89=C126),1,1)"),10284.0)</f>
        <v>10284</v>
      </c>
      <c r="G126" s="138"/>
      <c r="H126" s="138"/>
      <c r="I126" s="138"/>
      <c r="J126" s="138"/>
      <c r="K126" s="139"/>
      <c r="L126" s="139"/>
      <c r="M126" s="139" t="s">
        <v>43</v>
      </c>
      <c r="N126" s="140"/>
      <c r="O126" s="140"/>
      <c r="P126" s="140"/>
      <c r="Q126" s="140"/>
      <c r="R126" s="140"/>
      <c r="S126" s="141"/>
      <c r="T126" s="140"/>
      <c r="U126" s="140"/>
      <c r="V126" s="140"/>
      <c r="W126" s="140"/>
      <c r="X126" s="142"/>
      <c r="Y126" s="143"/>
    </row>
    <row r="127">
      <c r="A127" s="135">
        <v>118.0</v>
      </c>
      <c r="B127" s="135" t="s">
        <v>187</v>
      </c>
      <c r="C127" s="135" t="s">
        <v>107</v>
      </c>
      <c r="D127" s="136">
        <v>44682.0</v>
      </c>
      <c r="E127" s="135" t="str">
        <f>IFERROR(VLOOKUP(C127,'Công T5'!$C$7:$F$89,4,0),"")</f>
        <v>NL</v>
      </c>
      <c r="F127" s="137">
        <f>IFERROR(__xludf.DUMMYFUNCTION("INDEX(FILTER('Công T5'!$B$8:$C$89,'Công T5'!$C$8:$C$89=C127),1,1)"),10284.0)</f>
        <v>10284</v>
      </c>
      <c r="G127" s="138"/>
      <c r="H127" s="138"/>
      <c r="I127" s="138"/>
      <c r="J127" s="138"/>
      <c r="K127" s="139"/>
      <c r="L127" s="139"/>
      <c r="M127" s="139" t="s">
        <v>43</v>
      </c>
      <c r="N127" s="140"/>
      <c r="O127" s="140"/>
      <c r="P127" s="140"/>
      <c r="Q127" s="140"/>
      <c r="R127" s="140"/>
      <c r="S127" s="141"/>
      <c r="T127" s="140"/>
      <c r="U127" s="140"/>
      <c r="V127" s="140"/>
      <c r="W127" s="140"/>
      <c r="X127" s="142"/>
      <c r="Y127" s="143"/>
    </row>
    <row r="128">
      <c r="A128" s="135">
        <v>119.0</v>
      </c>
      <c r="B128" s="135" t="s">
        <v>187</v>
      </c>
      <c r="C128" s="135" t="s">
        <v>108</v>
      </c>
      <c r="D128" s="136">
        <v>44681.0</v>
      </c>
      <c r="E128" s="135" t="str">
        <f>IFERROR(VLOOKUP(C128,'Công T5'!$C$7:$F$89,4,0),"")</f>
        <v>NL</v>
      </c>
      <c r="F128" s="137">
        <f>IFERROR(__xludf.DUMMYFUNCTION("INDEX(FILTER('Công T5'!$B$8:$C$89,'Công T5'!$C$8:$C$89=C128),1,1)"),10388.0)</f>
        <v>10388</v>
      </c>
      <c r="G128" s="138"/>
      <c r="H128" s="138"/>
      <c r="I128" s="138"/>
      <c r="J128" s="138"/>
      <c r="K128" s="139"/>
      <c r="L128" s="139"/>
      <c r="M128" s="139" t="s">
        <v>43</v>
      </c>
      <c r="N128" s="140"/>
      <c r="O128" s="140"/>
      <c r="P128" s="140"/>
      <c r="Q128" s="140"/>
      <c r="R128" s="140"/>
      <c r="S128" s="141"/>
      <c r="T128" s="140"/>
      <c r="U128" s="140"/>
      <c r="V128" s="140"/>
      <c r="W128" s="140"/>
      <c r="X128" s="142"/>
      <c r="Y128" s="143"/>
    </row>
    <row r="129">
      <c r="A129" s="135">
        <v>120.0</v>
      </c>
      <c r="B129" s="135" t="s">
        <v>187</v>
      </c>
      <c r="C129" s="135" t="s">
        <v>108</v>
      </c>
      <c r="D129" s="136">
        <v>44682.0</v>
      </c>
      <c r="E129" s="135" t="str">
        <f>IFERROR(VLOOKUP(C129,'Công T5'!$C$7:$F$89,4,0),"")</f>
        <v>NL</v>
      </c>
      <c r="F129" s="137">
        <f>IFERROR(__xludf.DUMMYFUNCTION("INDEX(FILTER('Công T5'!$B$8:$C$89,'Công T5'!$C$8:$C$89=C129),1,1)"),10388.0)</f>
        <v>10388</v>
      </c>
      <c r="G129" s="138"/>
      <c r="H129" s="138"/>
      <c r="I129" s="138"/>
      <c r="J129" s="138"/>
      <c r="K129" s="139"/>
      <c r="L129" s="139"/>
      <c r="M129" s="139" t="s">
        <v>43</v>
      </c>
      <c r="N129" s="140"/>
      <c r="O129" s="140"/>
      <c r="P129" s="140"/>
      <c r="Q129" s="140"/>
      <c r="R129" s="140"/>
      <c r="S129" s="141"/>
      <c r="T129" s="140"/>
      <c r="U129" s="140"/>
      <c r="V129" s="140"/>
      <c r="W129" s="140"/>
      <c r="X129" s="142"/>
      <c r="Y129" s="143"/>
    </row>
    <row r="130">
      <c r="A130" s="135">
        <v>121.0</v>
      </c>
      <c r="B130" s="135" t="s">
        <v>187</v>
      </c>
      <c r="C130" s="135" t="s">
        <v>78</v>
      </c>
      <c r="D130" s="136">
        <v>44681.0</v>
      </c>
      <c r="E130" s="135" t="str">
        <f>IFERROR(VLOOKUP(C130,'Công T5'!$C$7:$F$89,4,0),"")</f>
        <v>NV</v>
      </c>
      <c r="F130" s="137">
        <f>IFERROR(__xludf.DUMMYFUNCTION("INDEX(FILTER('Công T5'!$B$8:$C$89,'Công T5'!$C$8:$C$89=C130),1,1)"),10176.0)</f>
        <v>10176</v>
      </c>
      <c r="G130" s="138"/>
      <c r="H130" s="138"/>
      <c r="I130" s="138"/>
      <c r="J130" s="138"/>
      <c r="K130" s="139"/>
      <c r="L130" s="139"/>
      <c r="M130" s="139" t="s">
        <v>43</v>
      </c>
      <c r="N130" s="140"/>
      <c r="O130" s="140"/>
      <c r="P130" s="140"/>
      <c r="Q130" s="140"/>
      <c r="R130" s="140"/>
      <c r="S130" s="141"/>
      <c r="T130" s="140"/>
      <c r="U130" s="140"/>
      <c r="V130" s="140"/>
      <c r="W130" s="140"/>
      <c r="X130" s="142"/>
      <c r="Y130" s="143"/>
    </row>
    <row r="131">
      <c r="A131" s="135">
        <v>122.0</v>
      </c>
      <c r="B131" s="135" t="s">
        <v>187</v>
      </c>
      <c r="C131" s="135" t="s">
        <v>78</v>
      </c>
      <c r="D131" s="136">
        <v>44682.0</v>
      </c>
      <c r="E131" s="135" t="str">
        <f>IFERROR(VLOOKUP(C131,'Công T5'!$C$7:$F$89,4,0),"")</f>
        <v>NV</v>
      </c>
      <c r="F131" s="137">
        <f>IFERROR(__xludf.DUMMYFUNCTION("INDEX(FILTER('Công T5'!$B$8:$C$89,'Công T5'!$C$8:$C$89=C131),1,1)"),10176.0)</f>
        <v>10176</v>
      </c>
      <c r="G131" s="138"/>
      <c r="H131" s="138"/>
      <c r="I131" s="138"/>
      <c r="J131" s="138"/>
      <c r="K131" s="139"/>
      <c r="L131" s="139"/>
      <c r="M131" s="139" t="s">
        <v>43</v>
      </c>
      <c r="N131" s="140"/>
      <c r="O131" s="140"/>
      <c r="P131" s="140"/>
      <c r="Q131" s="140"/>
      <c r="R131" s="140"/>
      <c r="S131" s="141"/>
      <c r="T131" s="140"/>
      <c r="U131" s="140"/>
      <c r="V131" s="140"/>
      <c r="W131" s="140"/>
      <c r="X131" s="142"/>
      <c r="Y131" s="143"/>
    </row>
    <row r="132">
      <c r="A132" s="135">
        <v>123.0</v>
      </c>
      <c r="B132" s="135" t="s">
        <v>214</v>
      </c>
      <c r="C132" s="135" t="s">
        <v>78</v>
      </c>
      <c r="D132" s="136">
        <v>44686.0</v>
      </c>
      <c r="E132" s="135" t="str">
        <f>IFERROR(VLOOKUP(C132,'Công T5'!$C$7:$F$89,4,0),"")</f>
        <v>NV</v>
      </c>
      <c r="F132" s="137">
        <f>IFERROR(__xludf.DUMMYFUNCTION("INDEX(FILTER('Công T5'!$B$8:$C$89,'Công T5'!$C$8:$C$89=C132),1,1)"),10176.0)</f>
        <v>10176</v>
      </c>
      <c r="G132" s="138">
        <f>IFERROR(__xludf.DUMMYFUNCTION("IFERROR(INDEX(FILTER('Vân tay'!$A$5:$O330,'Vân tay'!$C$5:$C330=F132,'Vân tay'!$B$5:$B330=D132),1,10),"""")"),0.32569444444444445)</f>
        <v>0.3256944444</v>
      </c>
      <c r="H132" s="138">
        <f>IFERROR(__xludf.DUMMYFUNCTION("IFERROR(INDEX(FILTER('Vân tay'!$A$5:$O330,'Vân tay'!$C$5:$C330=F132,'Vân tay'!$B$5:$B330=D132),1,11),"""")"),0.675)</f>
        <v>0.675</v>
      </c>
      <c r="I132" s="138">
        <f>IFERROR(__xludf.DUMMYFUNCTION("IFERROR(INDEX(FILTER('Vân tay'!$A$5:$O330,'Vân tay'!$C$5:$C330=F132,'Vân tay'!$B$5:$B330=D132),1,14),"""")"),0.3333333333333333)</f>
        <v>0.3333333333</v>
      </c>
      <c r="J132" s="138">
        <f>IFERROR(__xludf.DUMMYFUNCTION("IFERROR(INDEX(FILTER('Vân tay'!$A$5:$O330,'Vân tay'!$C$5:$C330=F132,'Vân tay'!$B$5:$B330=D132),1,15),"""")"),0.675)</f>
        <v>0.675</v>
      </c>
      <c r="K132" s="139">
        <f t="shared" ref="K132:K138" si="110">if(B132="","",if(J132&lt;&gt;"",if(I132&lt;$L$1,if(J132&lt;$L$1,J132-I132,$L$1-I132),0),"")*24/8)</f>
        <v>0.5</v>
      </c>
      <c r="L132" s="139">
        <f t="shared" ref="L132:L138" si="111">if(I132="","",if(J132="","",if(J132&gt;$M$1,if(I132&lt;$M$1,J132-$M$1,J132-I132)*24/8,"")))</f>
        <v>0.4</v>
      </c>
      <c r="M132" s="139">
        <f t="shared" ref="M132:M133" si="112">if(B132="","",if(J132="",0.5,if(E132="NL",1,(K132+L132))))</f>
        <v>0.9</v>
      </c>
      <c r="N132" s="140">
        <f t="shared" ref="N132:N135" si="113">if(G132&lt;&gt;"",if(G132&gt;$I$1,1,0),"")</f>
        <v>0</v>
      </c>
      <c r="O132" s="140">
        <f t="shared" ref="O132:O133" si="114">if(B132&lt;&gt;"",if(OR(J132="",M132=""),1,0),"")</f>
        <v>0</v>
      </c>
      <c r="P132" s="140">
        <f t="shared" ref="P132:P138" si="115">if(Y132="làm thêm ngày thường",X132,if(Y132="làm thêm T7, CN",M132,0))</f>
        <v>0</v>
      </c>
      <c r="Q132" s="140">
        <f>if(or(D132='Công T5'!$B$97,D132='Công T5'!$B$98,D132='Công T5'!$B$99,D132='Công T5'!$B$100,D132='Công T5'!$B$101),if(M132="CT",1,if(M132="C/2",0.5,M132)),0)</f>
        <v>0</v>
      </c>
      <c r="R132" s="140">
        <f t="shared" ref="R132:R137" si="116">if(and(or(WEEKDAY(D132,3)&lt;5,D132=$E$1,D132=$F$1,D132=$G$1),G132&lt;$Q$1,G132&lt;&gt;""),1,0)+if(and(or(WEEKDAY(D132,3)&lt;5,D132=$E$1,D132=$F$1,D132=$G$1),H132&gt;$R$1,H132&lt;&gt;""),1,0)</f>
        <v>0</v>
      </c>
      <c r="S132" s="141">
        <f t="shared" ref="S132:S138" si="117">if(and(WEEKDAY(D132,3)&gt;4,D132&lt;&gt;$E$1,D132&lt;&gt;$F$1,D132&lt;&gt;$G$1,G132&lt;$Q$1,G132&lt;&gt;""),1,0)+if(and(WEEKDAY(D132,3)&gt;4,D132&lt;&gt;$E$1,D132&lt;&gt;$F$1,D132&lt;&gt;$G$1,H132&gt;$R$1,H132&lt;&gt;""),1,0)</f>
        <v>0</v>
      </c>
      <c r="T132" s="140">
        <f t="shared" ref="T132:T138" si="118">if(and(E132="ĐT",H132&lt;&gt;"",H132&gt;$R$1),1,0)</f>
        <v>0</v>
      </c>
      <c r="U132" s="140"/>
      <c r="V132" s="140"/>
      <c r="W132" s="140">
        <f t="shared" ref="W132:W138" si="119">if(E132="LX",if(and(G132&lt;$S$1,H132&gt;$T$1,M132&lt;&gt;1,M132&lt;&gt;"CT"),1,""),"")+if(E132="LX",if(and(G132&lt;$U$1,H132&gt;$V$1),1,""),"")</f>
        <v>0</v>
      </c>
      <c r="X132" s="142">
        <f t="shared" ref="X132:X138" si="120">if(B132="","",(if($I$1-G132&gt;0,$I$1-G132,0)+if(H132-$N$1&gt;0,H132-$N$1,0))*24/8)</f>
        <v>0.02291666667</v>
      </c>
      <c r="Y132" s="143"/>
    </row>
    <row r="133">
      <c r="A133" s="135">
        <v>124.0</v>
      </c>
      <c r="B133" s="135" t="s">
        <v>215</v>
      </c>
      <c r="C133" s="135" t="s">
        <v>78</v>
      </c>
      <c r="D133" s="136">
        <v>44692.0</v>
      </c>
      <c r="E133" s="135" t="str">
        <f>IFERROR(VLOOKUP(C133,'Công T5'!$C$7:$F$89,4,0),"")</f>
        <v>NV</v>
      </c>
      <c r="F133" s="137">
        <f>IFERROR(__xludf.DUMMYFUNCTION("INDEX(FILTER('Công T5'!$B$8:$C$89,'Công T5'!$C$8:$C$89=C133),1,1)"),10176.0)</f>
        <v>10176</v>
      </c>
      <c r="G133" s="138">
        <f>IFERROR(__xludf.DUMMYFUNCTION("IFERROR(INDEX(FILTER('Vân tay'!$A$5:$O330,'Vân tay'!$C$5:$C330=F133,'Vân tay'!$B$5:$B330=D133),1,10),"""")"),0.30972222222222223)</f>
        <v>0.3097222222</v>
      </c>
      <c r="H133" s="138">
        <f>IFERROR(__xludf.DUMMYFUNCTION("IFERROR(INDEX(FILTER('Vân tay'!$A$5:$O330,'Vân tay'!$C$5:$C330=F133,'Vân tay'!$B$5:$B330=D133),1,11),"""")"),0.5243055555555556)</f>
        <v>0.5243055556</v>
      </c>
      <c r="I133" s="138">
        <f>IFERROR(__xludf.DUMMYFUNCTION("IFERROR(INDEX(FILTER('Vân tay'!$A$5:$O330,'Vân tay'!$C$5:$C330=F133,'Vân tay'!$B$5:$B330=D133),1,14),"""")"),0.3333333333333333)</f>
        <v>0.3333333333</v>
      </c>
      <c r="J133" s="138">
        <f>IFERROR(__xludf.DUMMYFUNCTION("IFERROR(INDEX(FILTER('Vân tay'!$A$5:$O330,'Vân tay'!$C$5:$C330=F133,'Vân tay'!$B$5:$B330=D133),1,15),"""")"),0.5)</f>
        <v>0.5</v>
      </c>
      <c r="K133" s="139">
        <f t="shared" si="110"/>
        <v>0.5</v>
      </c>
      <c r="L133" s="139" t="str">
        <f t="shared" si="111"/>
        <v/>
      </c>
      <c r="M133" s="139">
        <f t="shared" si="112"/>
        <v>0.5</v>
      </c>
      <c r="N133" s="140">
        <f t="shared" si="113"/>
        <v>0</v>
      </c>
      <c r="O133" s="140">
        <f t="shared" si="114"/>
        <v>0</v>
      </c>
      <c r="P133" s="140">
        <f t="shared" si="115"/>
        <v>0</v>
      </c>
      <c r="Q133" s="140">
        <f>if(or(D133='Công T5'!$B$97,D133='Công T5'!$B$98,D133='Công T5'!$B$99,D133='Công T5'!$B$100,D133='Công T5'!$B$101),if(M133="CT",1,if(M133="C/2",0.5,M133)),0)</f>
        <v>0</v>
      </c>
      <c r="R133" s="140">
        <f t="shared" si="116"/>
        <v>0</v>
      </c>
      <c r="S133" s="141">
        <f t="shared" si="117"/>
        <v>0</v>
      </c>
      <c r="T133" s="140">
        <f t="shared" si="118"/>
        <v>0</v>
      </c>
      <c r="U133" s="140"/>
      <c r="V133" s="140"/>
      <c r="W133" s="140">
        <f t="shared" si="119"/>
        <v>0</v>
      </c>
      <c r="X133" s="142">
        <f t="shared" si="120"/>
        <v>0.07083333333</v>
      </c>
      <c r="Y133" s="143"/>
    </row>
    <row r="134">
      <c r="A134" s="135">
        <v>125.0</v>
      </c>
      <c r="B134" s="135" t="s">
        <v>216</v>
      </c>
      <c r="C134" s="135" t="s">
        <v>78</v>
      </c>
      <c r="D134" s="136">
        <v>44693.0</v>
      </c>
      <c r="E134" s="135" t="str">
        <f>IFERROR(VLOOKUP(C134,'Công T5'!$C$7:$F$89,4,0),"")</f>
        <v>NV</v>
      </c>
      <c r="F134" s="137">
        <f>IFERROR(__xludf.DUMMYFUNCTION("INDEX(FILTER('Công T5'!$B$8:$C$89,'Công T5'!$C$8:$C$89=C134),1,1)"),10176.0)</f>
        <v>10176</v>
      </c>
      <c r="G134" s="138" t="str">
        <f>IFERROR(__xludf.DUMMYFUNCTION("IFERROR(INDEX(FILTER('Vân tay'!$A$5:$O330,'Vân tay'!$C$5:$C330=F134,'Vân tay'!$B$5:$B330=D134),1,10),"""")"),"")</f>
        <v/>
      </c>
      <c r="H134" s="138" t="str">
        <f>IFERROR(__xludf.DUMMYFUNCTION("IFERROR(INDEX(FILTER('Vân tay'!$A$5:$O330,'Vân tay'!$C$5:$C330=F134,'Vân tay'!$B$5:$B330=D134),1,11),"""")"),"")</f>
        <v/>
      </c>
      <c r="I134" s="138" t="str">
        <f>IFERROR(__xludf.DUMMYFUNCTION("IFERROR(INDEX(FILTER('Vân tay'!$A$5:$O330,'Vân tay'!$C$5:$C330=F134,'Vân tay'!$B$5:$B330=D134),1,14),"""")"),"")</f>
        <v/>
      </c>
      <c r="J134" s="138" t="str">
        <f>IFERROR(__xludf.DUMMYFUNCTION("IFERROR(INDEX(FILTER('Vân tay'!$A$5:$O330,'Vân tay'!$C$5:$C330=F134,'Vân tay'!$B$5:$B330=D134),1,15),"""")"),"")</f>
        <v/>
      </c>
      <c r="K134" s="139">
        <f t="shared" si="110"/>
        <v>0</v>
      </c>
      <c r="L134" s="139" t="str">
        <f t="shared" si="111"/>
        <v/>
      </c>
      <c r="M134" s="139" t="s">
        <v>48</v>
      </c>
      <c r="N134" s="140" t="str">
        <f t="shared" si="113"/>
        <v/>
      </c>
      <c r="O134" s="140"/>
      <c r="P134" s="140">
        <f t="shared" si="115"/>
        <v>0</v>
      </c>
      <c r="Q134" s="140">
        <f>if(or(D134='Công T5'!$B$97,D134='Công T5'!$B$98,D134='Công T5'!$B$99,D134='Công T5'!$B$100,D134='Công T5'!$B$101),if(M134="CT",1,if(M134="C/2",0.5,M134)),0)</f>
        <v>0</v>
      </c>
      <c r="R134" s="140">
        <f t="shared" si="116"/>
        <v>0</v>
      </c>
      <c r="S134" s="141">
        <f t="shared" si="117"/>
        <v>0</v>
      </c>
      <c r="T134" s="140">
        <f t="shared" si="118"/>
        <v>0</v>
      </c>
      <c r="U134" s="140"/>
      <c r="V134" s="140"/>
      <c r="W134" s="140">
        <f t="shared" si="119"/>
        <v>0</v>
      </c>
      <c r="X134" s="142">
        <f t="shared" si="120"/>
        <v>1</v>
      </c>
      <c r="Y134" s="143"/>
    </row>
    <row r="135">
      <c r="A135" s="135">
        <v>126.0</v>
      </c>
      <c r="B135" s="135" t="s">
        <v>217</v>
      </c>
      <c r="C135" s="135" t="s">
        <v>78</v>
      </c>
      <c r="D135" s="136">
        <v>44693.0</v>
      </c>
      <c r="E135" s="135" t="str">
        <f>IFERROR(VLOOKUP(C135,'Công T5'!$C$7:$F$89,4,0),"")</f>
        <v>NV</v>
      </c>
      <c r="F135" s="137">
        <f>IFERROR(__xludf.DUMMYFUNCTION("INDEX(FILTER('Công T5'!$B$8:$C$89,'Công T5'!$C$8:$C$89=C135),1,1)"),10176.0)</f>
        <v>10176</v>
      </c>
      <c r="G135" s="138" t="str">
        <f>IFERROR(__xludf.DUMMYFUNCTION("IFERROR(INDEX(FILTER('Vân tay'!$A$5:$O330,'Vân tay'!$C$5:$C330=F135,'Vân tay'!$B$5:$B330=D135),1,10),"""")"),"")</f>
        <v/>
      </c>
      <c r="H135" s="138" t="str">
        <f>IFERROR(__xludf.DUMMYFUNCTION("IFERROR(INDEX(FILTER('Vân tay'!$A$5:$O330,'Vân tay'!$C$5:$C330=F135,'Vân tay'!$B$5:$B330=D135),1,11),"""")"),"")</f>
        <v/>
      </c>
      <c r="I135" s="138" t="str">
        <f>IFERROR(__xludf.DUMMYFUNCTION("IFERROR(INDEX(FILTER('Vân tay'!$A$5:$O330,'Vân tay'!$C$5:$C330=F135,'Vân tay'!$B$5:$B330=D135),1,14),"""")"),"")</f>
        <v/>
      </c>
      <c r="J135" s="138" t="str">
        <f>IFERROR(__xludf.DUMMYFUNCTION("IFERROR(INDEX(FILTER('Vân tay'!$A$5:$O330,'Vân tay'!$C$5:$C330=F135,'Vân tay'!$B$5:$B330=D135),1,15),"""")"),"")</f>
        <v/>
      </c>
      <c r="K135" s="139">
        <f t="shared" si="110"/>
        <v>0</v>
      </c>
      <c r="L135" s="139" t="str">
        <f t="shared" si="111"/>
        <v/>
      </c>
      <c r="M135" s="139" t="s">
        <v>48</v>
      </c>
      <c r="N135" s="140" t="str">
        <f t="shared" si="113"/>
        <v/>
      </c>
      <c r="O135" s="140"/>
      <c r="P135" s="140">
        <f t="shared" si="115"/>
        <v>0</v>
      </c>
      <c r="Q135" s="140">
        <f>if(or(D135='Công T5'!$B$97,D135='Công T5'!$B$98,D135='Công T5'!$B$99,D135='Công T5'!$B$100,D135='Công T5'!$B$101),if(M135="CT",1,if(M135="C/2",0.5,M135)),0)</f>
        <v>0</v>
      </c>
      <c r="R135" s="140">
        <f t="shared" si="116"/>
        <v>0</v>
      </c>
      <c r="S135" s="141">
        <f t="shared" si="117"/>
        <v>0</v>
      </c>
      <c r="T135" s="140">
        <f t="shared" si="118"/>
        <v>0</v>
      </c>
      <c r="U135" s="140"/>
      <c r="V135" s="140"/>
      <c r="W135" s="140">
        <f t="shared" si="119"/>
        <v>0</v>
      </c>
      <c r="X135" s="142">
        <f t="shared" si="120"/>
        <v>1</v>
      </c>
      <c r="Y135" s="143"/>
    </row>
    <row r="136">
      <c r="A136" s="135">
        <v>127.0</v>
      </c>
      <c r="B136" s="135" t="s">
        <v>218</v>
      </c>
      <c r="C136" s="135" t="s">
        <v>78</v>
      </c>
      <c r="D136" s="136">
        <v>44694.0</v>
      </c>
      <c r="E136" s="135" t="str">
        <f>IFERROR(VLOOKUP(C136,'Công T5'!$C$7:$F$89,4,0),"")</f>
        <v>NV</v>
      </c>
      <c r="F136" s="137">
        <f>IFERROR(__xludf.DUMMYFUNCTION("INDEX(FILTER('Công T5'!$B$8:$C$89,'Công T5'!$C$8:$C$89=C136),1,1)"),10176.0)</f>
        <v>10176</v>
      </c>
      <c r="G136" s="138">
        <f>IFERROR(__xludf.DUMMYFUNCTION("IFERROR(INDEX(FILTER('Vân tay'!$A$5:$O330,'Vân tay'!$C$5:$C330=F136,'Vân tay'!$B$5:$B330=D136),1,10),"""")"),0.7270833333333333)</f>
        <v>0.7270833333</v>
      </c>
      <c r="H136" s="138" t="str">
        <f>IFERROR(__xludf.DUMMYFUNCTION("IFERROR(INDEX(FILTER('Vân tay'!$A$5:$O330,'Vân tay'!$C$5:$C330=F136,'Vân tay'!$B$5:$B330=D136),1,11),"""")"),"")</f>
        <v/>
      </c>
      <c r="I136" s="138">
        <f>IFERROR(__xludf.DUMMYFUNCTION("IFERROR(INDEX(FILTER('Vân tay'!$A$5:$O330,'Vân tay'!$C$5:$C330=F136,'Vân tay'!$B$5:$B330=D136),1,14),"""")"),0.7270833333333333)</f>
        <v>0.7270833333</v>
      </c>
      <c r="J136" s="138" t="str">
        <f>IFERROR(__xludf.DUMMYFUNCTION("IFERROR(INDEX(FILTER('Vân tay'!$A$5:$O330,'Vân tay'!$C$5:$C330=F136,'Vân tay'!$B$5:$B330=D136),1,15),"""")"),"")</f>
        <v/>
      </c>
      <c r="K136" s="139">
        <f t="shared" si="110"/>
        <v>0</v>
      </c>
      <c r="L136" s="139" t="str">
        <f t="shared" si="111"/>
        <v/>
      </c>
      <c r="M136" s="139">
        <f t="shared" ref="M136:M138" si="121">if(B136="","",if(J136="",0.5,if(E136="NL",1,(K136+L136))))</f>
        <v>0.5</v>
      </c>
      <c r="N136" s="140"/>
      <c r="O136" s="140"/>
      <c r="P136" s="140">
        <f t="shared" si="115"/>
        <v>0</v>
      </c>
      <c r="Q136" s="140">
        <f>if(or(D136='Công T5'!$B$97,D136='Công T5'!$B$98,D136='Công T5'!$B$99,D136='Công T5'!$B$100,D136='Công T5'!$B$101),if(M136="CT",1,if(M136="C/2",0.5,M136)),0)</f>
        <v>0</v>
      </c>
      <c r="R136" s="140">
        <f t="shared" si="116"/>
        <v>0</v>
      </c>
      <c r="S136" s="141">
        <f t="shared" si="117"/>
        <v>0</v>
      </c>
      <c r="T136" s="140">
        <f t="shared" si="118"/>
        <v>0</v>
      </c>
      <c r="U136" s="140"/>
      <c r="V136" s="140"/>
      <c r="W136" s="140">
        <f t="shared" si="119"/>
        <v>0</v>
      </c>
      <c r="X136" s="142">
        <f t="shared" si="120"/>
        <v>0</v>
      </c>
      <c r="Y136" s="143"/>
    </row>
    <row r="137">
      <c r="A137" s="135">
        <v>128.0</v>
      </c>
      <c r="B137" s="135" t="s">
        <v>219</v>
      </c>
      <c r="C137" s="135" t="s">
        <v>78</v>
      </c>
      <c r="D137" s="136">
        <v>44697.0</v>
      </c>
      <c r="E137" s="135" t="str">
        <f>IFERROR(VLOOKUP(C137,'Công T5'!$C$7:$F$89,4,0),"")</f>
        <v>NV</v>
      </c>
      <c r="F137" s="137">
        <f>IFERROR(__xludf.DUMMYFUNCTION("INDEX(FILTER('Công T5'!$B$8:$C$89,'Công T5'!$C$8:$C$89=C137),1,1)"),10176.0)</f>
        <v>10176</v>
      </c>
      <c r="G137" s="138">
        <f>IFERROR(__xludf.DUMMYFUNCTION("IFERROR(INDEX(FILTER('Vân tay'!$A$5:$O330,'Vân tay'!$C$5:$C330=F137,'Vân tay'!$B$5:$B330=D137),1,10),"""")"),0.44930555555555557)</f>
        <v>0.4493055556</v>
      </c>
      <c r="H137" s="138">
        <f>IFERROR(__xludf.DUMMYFUNCTION("IFERROR(INDEX(FILTER('Vân tay'!$A$5:$O330,'Vân tay'!$C$5:$C330=F137,'Vân tay'!$B$5:$B330=D137),1,11),"""")"),0.7125)</f>
        <v>0.7125</v>
      </c>
      <c r="I137" s="138">
        <f>IFERROR(__xludf.DUMMYFUNCTION("IFERROR(INDEX(FILTER('Vân tay'!$A$5:$O330,'Vân tay'!$C$5:$C330=F137,'Vân tay'!$B$5:$B330=D137),1,14),"""")"),0.44930555555555557)</f>
        <v>0.4493055556</v>
      </c>
      <c r="J137" s="138">
        <f>IFERROR(__xludf.DUMMYFUNCTION("IFERROR(INDEX(FILTER('Vân tay'!$A$5:$O330,'Vân tay'!$C$5:$C330=F137,'Vân tay'!$B$5:$B330=D137),1,15),"""")"),0.7083333333333334)</f>
        <v>0.7083333333</v>
      </c>
      <c r="K137" s="139">
        <f t="shared" si="110"/>
        <v>0.1520833333</v>
      </c>
      <c r="L137" s="139">
        <f t="shared" si="111"/>
        <v>0.5</v>
      </c>
      <c r="M137" s="139">
        <f t="shared" si="121"/>
        <v>0.6520833333</v>
      </c>
      <c r="N137" s="140"/>
      <c r="O137" s="140">
        <f t="shared" ref="O137:O138" si="122">if(B137&lt;&gt;"",if(OR(J137="",M137=""),1,0),"")</f>
        <v>0</v>
      </c>
      <c r="P137" s="140">
        <f t="shared" si="115"/>
        <v>0</v>
      </c>
      <c r="Q137" s="140">
        <f>if(or(D137='Công T5'!$B$97,D137='Công T5'!$B$98,D137='Công T5'!$B$99,D137='Công T5'!$B$100,D137='Công T5'!$B$101),if(M137="CT",1,if(M137="C/2",0.5,M137)),0)</f>
        <v>0</v>
      </c>
      <c r="R137" s="140">
        <f t="shared" si="116"/>
        <v>0</v>
      </c>
      <c r="S137" s="141">
        <f t="shared" si="117"/>
        <v>0</v>
      </c>
      <c r="T137" s="140">
        <f t="shared" si="118"/>
        <v>0</v>
      </c>
      <c r="U137" s="140"/>
      <c r="V137" s="140"/>
      <c r="W137" s="140">
        <f t="shared" si="119"/>
        <v>0</v>
      </c>
      <c r="X137" s="142">
        <f t="shared" si="120"/>
        <v>0.0125</v>
      </c>
      <c r="Y137" s="143"/>
    </row>
    <row r="138">
      <c r="A138" s="135">
        <v>129.0</v>
      </c>
      <c r="B138" s="135" t="s">
        <v>220</v>
      </c>
      <c r="C138" s="135" t="s">
        <v>78</v>
      </c>
      <c r="D138" s="136">
        <v>44705.0</v>
      </c>
      <c r="E138" s="135" t="str">
        <f>IFERROR(VLOOKUP(C138,'Công T5'!$C$7:$F$89,4,0),"")</f>
        <v>NV</v>
      </c>
      <c r="F138" s="137">
        <f>IFERROR(__xludf.DUMMYFUNCTION("INDEX(FILTER('Công T5'!$B$8:$C$89,'Công T5'!$C$8:$C$89=C138),1,1)"),10176.0)</f>
        <v>10176</v>
      </c>
      <c r="G138" s="138">
        <f>IFERROR(__xludf.DUMMYFUNCTION("IFERROR(INDEX(FILTER('Vân tay'!$A$5:$O330,'Vân tay'!$C$5:$C330=F138,'Vân tay'!$B$5:$B330=D138),1,10),"""")"),0.3458333333333333)</f>
        <v>0.3458333333</v>
      </c>
      <c r="H138" s="138">
        <f>IFERROR(__xludf.DUMMYFUNCTION("IFERROR(INDEX(FILTER('Vân tay'!$A$5:$O330,'Vân tay'!$C$5:$C330=F138,'Vân tay'!$B$5:$B330=D138),1,11),"""")"),0.7486111111111111)</f>
        <v>0.7486111111</v>
      </c>
      <c r="I138" s="138">
        <f>IFERROR(__xludf.DUMMYFUNCTION("IFERROR(INDEX(FILTER('Vân tay'!$A$5:$O330,'Vân tay'!$C$5:$C330=F138,'Vân tay'!$B$5:$B330=D138),1,14),"""")"),0.3333333333333333)</f>
        <v>0.3333333333</v>
      </c>
      <c r="J138" s="138">
        <f>IFERROR(__xludf.DUMMYFUNCTION("IFERROR(INDEX(FILTER('Vân tay'!$A$5:$O330,'Vân tay'!$C$5:$C330=F138,'Vân tay'!$B$5:$B330=D138),1,15),"""")"),0.7083333333333334)</f>
        <v>0.7083333333</v>
      </c>
      <c r="K138" s="139">
        <f t="shared" si="110"/>
        <v>0.5</v>
      </c>
      <c r="L138" s="139">
        <f t="shared" si="111"/>
        <v>0.5</v>
      </c>
      <c r="M138" s="139">
        <f t="shared" si="121"/>
        <v>1</v>
      </c>
      <c r="N138" s="140"/>
      <c r="O138" s="140">
        <f t="shared" si="122"/>
        <v>0</v>
      </c>
      <c r="P138" s="140">
        <f t="shared" si="115"/>
        <v>0</v>
      </c>
      <c r="Q138" s="140">
        <f>if(or(D138='Công T5'!$B$97,D138='Công T5'!$B$98,D138='Công T5'!$B$99,D138='Công T5'!$B$100,D138='Công T5'!$B$101),if(M138="CT",1,if(M138="C/2",0.5,M138)),0)</f>
        <v>0</v>
      </c>
      <c r="R138" s="139">
        <v>1.0</v>
      </c>
      <c r="S138" s="141">
        <f t="shared" si="117"/>
        <v>0</v>
      </c>
      <c r="T138" s="140">
        <f t="shared" si="118"/>
        <v>0</v>
      </c>
      <c r="U138" s="140"/>
      <c r="V138" s="140"/>
      <c r="W138" s="140">
        <f t="shared" si="119"/>
        <v>0</v>
      </c>
      <c r="X138" s="142">
        <f t="shared" si="120"/>
        <v>0.1208333333</v>
      </c>
      <c r="Y138" s="143"/>
    </row>
    <row r="139">
      <c r="A139" s="135">
        <v>130.0</v>
      </c>
      <c r="B139" s="135" t="s">
        <v>187</v>
      </c>
      <c r="C139" s="135" t="s">
        <v>84</v>
      </c>
      <c r="D139" s="136">
        <v>44681.0</v>
      </c>
      <c r="E139" s="135" t="str">
        <f>IFERROR(VLOOKUP(C139,'Công T5'!$C$7:$F$89,4,0),"")</f>
        <v>NV</v>
      </c>
      <c r="F139" s="137">
        <f>IFERROR(__xludf.DUMMYFUNCTION("INDEX(FILTER('Công T5'!$B$8:$C$89,'Công T5'!$C$8:$C$89=C139),1,1)"),10189.0)</f>
        <v>10189</v>
      </c>
      <c r="G139" s="138"/>
      <c r="H139" s="138"/>
      <c r="I139" s="138"/>
      <c r="J139" s="138"/>
      <c r="K139" s="139"/>
      <c r="L139" s="139"/>
      <c r="M139" s="139" t="s">
        <v>43</v>
      </c>
      <c r="N139" s="140"/>
      <c r="O139" s="140"/>
      <c r="P139" s="140"/>
      <c r="Q139" s="140"/>
      <c r="R139" s="140"/>
      <c r="S139" s="141"/>
      <c r="T139" s="140"/>
      <c r="U139" s="140"/>
      <c r="V139" s="140"/>
      <c r="W139" s="140"/>
      <c r="X139" s="142"/>
      <c r="Y139" s="143"/>
    </row>
    <row r="140">
      <c r="A140" s="135">
        <v>131.0</v>
      </c>
      <c r="B140" s="135" t="s">
        <v>187</v>
      </c>
      <c r="C140" s="135" t="s">
        <v>84</v>
      </c>
      <c r="D140" s="136">
        <v>44682.0</v>
      </c>
      <c r="E140" s="135" t="str">
        <f>IFERROR(VLOOKUP(C140,'Công T5'!$C$7:$F$89,4,0),"")</f>
        <v>NV</v>
      </c>
      <c r="F140" s="137">
        <f>IFERROR(__xludf.DUMMYFUNCTION("INDEX(FILTER('Công T5'!$B$8:$C$89,'Công T5'!$C$8:$C$89=C140),1,1)"),10189.0)</f>
        <v>10189</v>
      </c>
      <c r="G140" s="138"/>
      <c r="H140" s="138"/>
      <c r="I140" s="138"/>
      <c r="J140" s="138"/>
      <c r="K140" s="139"/>
      <c r="L140" s="139"/>
      <c r="M140" s="139" t="s">
        <v>43</v>
      </c>
      <c r="N140" s="140"/>
      <c r="O140" s="140"/>
      <c r="P140" s="140"/>
      <c r="Q140" s="140"/>
      <c r="R140" s="140"/>
      <c r="S140" s="141"/>
      <c r="T140" s="140"/>
      <c r="U140" s="140"/>
      <c r="V140" s="140"/>
      <c r="W140" s="140"/>
      <c r="X140" s="142"/>
      <c r="Y140" s="143"/>
    </row>
    <row r="141">
      <c r="A141" s="135">
        <v>132.0</v>
      </c>
      <c r="B141" s="135" t="s">
        <v>221</v>
      </c>
      <c r="C141" s="135" t="s">
        <v>84</v>
      </c>
      <c r="D141" s="136">
        <v>44687.0</v>
      </c>
      <c r="E141" s="135" t="str">
        <f>IFERROR(VLOOKUP(C141,'Công T5'!$C$7:$F$89,4,0),"")</f>
        <v>NV</v>
      </c>
      <c r="F141" s="137">
        <f>IFERROR(__xludf.DUMMYFUNCTION("INDEX(FILTER('Công T5'!$B$8:$C$89,'Công T5'!$C$8:$C$89=C141),1,1)"),10189.0)</f>
        <v>10189</v>
      </c>
      <c r="G141" s="138" t="str">
        <f>IFERROR(__xludf.DUMMYFUNCTION("IFERROR(INDEX(FILTER('Vân tay'!$A$5:$O330,'Vân tay'!$C$5:$C330=F141,'Vân tay'!$B$5:$B330=D141),1,10),"""")"),"")</f>
        <v/>
      </c>
      <c r="H141" s="138" t="str">
        <f>IFERROR(__xludf.DUMMYFUNCTION("IFERROR(INDEX(FILTER('Vân tay'!$A$5:$O330,'Vân tay'!$C$5:$C330=F141,'Vân tay'!$B$5:$B330=D141),1,11),"""")"),"")</f>
        <v/>
      </c>
      <c r="I141" s="138" t="str">
        <f>IFERROR(__xludf.DUMMYFUNCTION("IFERROR(INDEX(FILTER('Vân tay'!$A$5:$O330,'Vân tay'!$C$5:$C330=F141,'Vân tay'!$B$5:$B330=D141),1,14),"""")"),"")</f>
        <v/>
      </c>
      <c r="J141" s="138" t="str">
        <f>IFERROR(__xludf.DUMMYFUNCTION("IFERROR(INDEX(FILTER('Vân tay'!$A$5:$O330,'Vân tay'!$C$5:$C330=F141,'Vân tay'!$B$5:$B330=D141),1,15),"""")"),"")</f>
        <v/>
      </c>
      <c r="K141" s="139">
        <f t="shared" ref="K141:K145" si="123">if(B141="","",if(J141&lt;&gt;"",if(I141&lt;$L$1,if(J141&lt;$L$1,J141-I141,$L$1-I141),0),"")*24/8)</f>
        <v>0</v>
      </c>
      <c r="L141" s="139" t="str">
        <f t="shared" ref="L141:L145" si="124">if(I141="","",if(J141="","",if(J141&gt;$M$1,if(I141&lt;$M$1,J141-$M$1,J141-I141)*24/8,"")))</f>
        <v/>
      </c>
      <c r="M141" s="139" t="s">
        <v>48</v>
      </c>
      <c r="N141" s="140" t="str">
        <f>if(G141&lt;&gt;"",if(G141&gt;$I$1,1,0),"")</f>
        <v/>
      </c>
      <c r="O141" s="140"/>
      <c r="P141" s="140">
        <f t="shared" ref="P141:P145" si="125">if(Y141="làm thêm ngày thường",X141,if(Y141="làm thêm T7, CN",M141,0))</f>
        <v>0</v>
      </c>
      <c r="Q141" s="140">
        <f>if(or(D141='Công T5'!$B$97,D141='Công T5'!$B$98,D141='Công T5'!$B$99,D141='Công T5'!$B$100,D141='Công T5'!$B$101),if(M141="CT",1,if(M141="C/2",0.5,M141)),0)</f>
        <v>0</v>
      </c>
      <c r="R141" s="140">
        <f t="shared" ref="R141:R145" si="126">if(and(or(WEEKDAY(D141,3)&lt;5,D141=$E$1,D141=$F$1,D141=$G$1),G141&lt;$Q$1,G141&lt;&gt;""),1,0)+if(and(or(WEEKDAY(D141,3)&lt;5,D141=$E$1,D141=$F$1,D141=$G$1),H141&gt;$R$1,H141&lt;&gt;""),1,0)</f>
        <v>0</v>
      </c>
      <c r="S141" s="141">
        <f t="shared" ref="S141:S145" si="127">if(and(WEEKDAY(D141,3)&gt;4,D141&lt;&gt;$E$1,D141&lt;&gt;$F$1,D141&lt;&gt;$G$1,G141&lt;$Q$1,G141&lt;&gt;""),1,0)+if(and(WEEKDAY(D141,3)&gt;4,D141&lt;&gt;$E$1,D141&lt;&gt;$F$1,D141&lt;&gt;$G$1,H141&gt;$R$1,H141&lt;&gt;""),1,0)</f>
        <v>0</v>
      </c>
      <c r="T141" s="140">
        <f t="shared" ref="T141:T145" si="128">if(and(E141="ĐT",H141&lt;&gt;"",H141&gt;$R$1),1,0)</f>
        <v>0</v>
      </c>
      <c r="U141" s="140"/>
      <c r="V141" s="140"/>
      <c r="W141" s="140">
        <f t="shared" ref="W141:W145" si="129">if(E141="LX",if(and(G141&lt;$S$1,H141&gt;$T$1,M141&lt;&gt;1,M141&lt;&gt;"CT"),1,""),"")+if(E141="LX",if(and(G141&lt;$U$1,H141&gt;$V$1),1,""),"")</f>
        <v>0</v>
      </c>
      <c r="X141" s="142">
        <f t="shared" ref="X141:X145" si="130">if(B141="","",(if($I$1-G141&gt;0,$I$1-G141,0)+if(H141-$N$1&gt;0,H141-$N$1,0))*24/8)</f>
        <v>1</v>
      </c>
      <c r="Y141" s="143"/>
    </row>
    <row r="142">
      <c r="A142" s="135">
        <v>133.0</v>
      </c>
      <c r="B142" s="135" t="s">
        <v>222</v>
      </c>
      <c r="C142" s="135" t="s">
        <v>84</v>
      </c>
      <c r="D142" s="136">
        <v>44704.0</v>
      </c>
      <c r="E142" s="135" t="str">
        <f>IFERROR(VLOOKUP(C142,'Công T5'!$C$7:$F$89,4,0),"")</f>
        <v>NV</v>
      </c>
      <c r="F142" s="137">
        <f>IFERROR(__xludf.DUMMYFUNCTION("INDEX(FILTER('Công T5'!$B$8:$C$89,'Công T5'!$C$8:$C$89=C142),1,1)"),10189.0)</f>
        <v>10189</v>
      </c>
      <c r="G142" s="138">
        <f>IFERROR(__xludf.DUMMYFUNCTION("IFERROR(INDEX(FILTER('Vân tay'!$A$5:$O330,'Vân tay'!$C$5:$C330=F142,'Vân tay'!$B$5:$B330=D142),1,10),"""")"),0.35347222222222224)</f>
        <v>0.3534722222</v>
      </c>
      <c r="H142" s="138">
        <f>IFERROR(__xludf.DUMMYFUNCTION("IFERROR(INDEX(FILTER('Vân tay'!$A$5:$O330,'Vân tay'!$C$5:$C330=F142,'Vân tay'!$B$5:$B330=D142),1,11),"""")"),0.7263888888888889)</f>
        <v>0.7263888889</v>
      </c>
      <c r="I142" s="138">
        <f>IFERROR(__xludf.DUMMYFUNCTION("IFERROR(INDEX(FILTER('Vân tay'!$A$5:$O330,'Vân tay'!$C$5:$C330=F142,'Vân tay'!$B$5:$B330=D142),1,14),"""")"),0.3333333333333333)</f>
        <v>0.3333333333</v>
      </c>
      <c r="J142" s="138">
        <f>IFERROR(__xludf.DUMMYFUNCTION("IFERROR(INDEX(FILTER('Vân tay'!$A$5:$O330,'Vân tay'!$C$5:$C330=F142,'Vân tay'!$B$5:$B330=D142),1,15),"""")"),0.7083333333333334)</f>
        <v>0.7083333333</v>
      </c>
      <c r="K142" s="139">
        <f t="shared" si="123"/>
        <v>0.5</v>
      </c>
      <c r="L142" s="139">
        <f t="shared" si="124"/>
        <v>0.5</v>
      </c>
      <c r="M142" s="139">
        <f>if(B142="","",if(J142="",0.5,if(E142="NL",1,(K142+L142))))</f>
        <v>1</v>
      </c>
      <c r="N142" s="140"/>
      <c r="O142" s="140">
        <f>if(B142&lt;&gt;"",if(OR(J142="",M142=""),1,0),"")</f>
        <v>0</v>
      </c>
      <c r="P142" s="140">
        <f t="shared" si="125"/>
        <v>0</v>
      </c>
      <c r="Q142" s="140">
        <f>if(or(D142='Công T5'!$B$97,D142='Công T5'!$B$98,D142='Công T5'!$B$99,D142='Công T5'!$B$100,D142='Công T5'!$B$101),if(M142="CT",1,if(M142="C/2",0.5,M142)),0)</f>
        <v>0</v>
      </c>
      <c r="R142" s="140">
        <f t="shared" si="126"/>
        <v>0</v>
      </c>
      <c r="S142" s="141">
        <f t="shared" si="127"/>
        <v>0</v>
      </c>
      <c r="T142" s="140">
        <f t="shared" si="128"/>
        <v>0</v>
      </c>
      <c r="U142" s="140"/>
      <c r="V142" s="140"/>
      <c r="W142" s="140">
        <f t="shared" si="129"/>
        <v>0</v>
      </c>
      <c r="X142" s="142">
        <f t="shared" si="130"/>
        <v>0.05416666667</v>
      </c>
      <c r="Y142" s="143"/>
    </row>
    <row r="143">
      <c r="A143" s="135">
        <v>134.0</v>
      </c>
      <c r="B143" s="135" t="s">
        <v>223</v>
      </c>
      <c r="C143" s="135" t="s">
        <v>85</v>
      </c>
      <c r="D143" s="136">
        <v>44686.0</v>
      </c>
      <c r="E143" s="135" t="str">
        <f>IFERROR(VLOOKUP(C143,'Công T5'!$C$7:$F$89,4,0),"")</f>
        <v>NV</v>
      </c>
      <c r="F143" s="137">
        <f>IFERROR(__xludf.DUMMYFUNCTION("INDEX(FILTER('Công T5'!$B$8:$C$89,'Công T5'!$C$8:$C$89=C143),1,1)"),10409.0)</f>
        <v>10409</v>
      </c>
      <c r="G143" s="138">
        <f>IFERROR(__xludf.DUMMYFUNCTION("IFERROR(INDEX(FILTER('Vân tay'!$A$5:$O330,'Vân tay'!$C$5:$C330=F143,'Vân tay'!$B$5:$B330=D143),1,10),"""")"),0.3277777777777778)</f>
        <v>0.3277777778</v>
      </c>
      <c r="H143" s="138" t="str">
        <f>IFERROR(__xludf.DUMMYFUNCTION("IFERROR(INDEX(FILTER('Vân tay'!$A$5:$O330,'Vân tay'!$C$5:$C330=F143,'Vân tay'!$B$5:$B330=D143),1,11),"""")"),"")</f>
        <v/>
      </c>
      <c r="I143" s="138">
        <f>IFERROR(__xludf.DUMMYFUNCTION("IFERROR(INDEX(FILTER('Vân tay'!$A$5:$O330,'Vân tay'!$C$5:$C330=F143,'Vân tay'!$B$5:$B330=D143),1,14),"""")"),0.3333333333333333)</f>
        <v>0.3333333333</v>
      </c>
      <c r="J143" s="138" t="str">
        <f>IFERROR(__xludf.DUMMYFUNCTION("IFERROR(INDEX(FILTER('Vân tay'!$A$5:$O330,'Vân tay'!$C$5:$C330=F143,'Vân tay'!$B$5:$B330=D143),1,15),"""")"),"")</f>
        <v/>
      </c>
      <c r="K143" s="139">
        <f t="shared" si="123"/>
        <v>0</v>
      </c>
      <c r="L143" s="139" t="str">
        <f t="shared" si="124"/>
        <v/>
      </c>
      <c r="M143" s="139">
        <v>1.0</v>
      </c>
      <c r="N143" s="140">
        <f t="shared" ref="N143:N144" si="131">if(G143&lt;&gt;"",if(G143&gt;$I$1,1,0),"")</f>
        <v>0</v>
      </c>
      <c r="O143" s="140"/>
      <c r="P143" s="140">
        <f t="shared" si="125"/>
        <v>0</v>
      </c>
      <c r="Q143" s="140">
        <f>if(or(D143='Công T5'!$B$97,D143='Công T5'!$B$98,D143='Công T5'!$B$99,D143='Công T5'!$B$100,D143='Công T5'!$B$101),if(M143="CT",1,if(M143="C/2",0.5,M143)),0)</f>
        <v>0</v>
      </c>
      <c r="R143" s="140">
        <f t="shared" si="126"/>
        <v>0</v>
      </c>
      <c r="S143" s="141">
        <f t="shared" si="127"/>
        <v>0</v>
      </c>
      <c r="T143" s="140">
        <f t="shared" si="128"/>
        <v>0</v>
      </c>
      <c r="U143" s="140"/>
      <c r="V143" s="140"/>
      <c r="W143" s="140">
        <f t="shared" si="129"/>
        <v>0</v>
      </c>
      <c r="X143" s="142">
        <f t="shared" si="130"/>
        <v>0.01666666667</v>
      </c>
      <c r="Y143" s="143"/>
    </row>
    <row r="144">
      <c r="A144" s="135">
        <v>135.0</v>
      </c>
      <c r="B144" s="135" t="s">
        <v>224</v>
      </c>
      <c r="C144" s="135" t="s">
        <v>85</v>
      </c>
      <c r="D144" s="136">
        <v>44687.0</v>
      </c>
      <c r="E144" s="135" t="str">
        <f>IFERROR(VLOOKUP(C144,'Công T5'!$C$7:$F$89,4,0),"")</f>
        <v>NV</v>
      </c>
      <c r="F144" s="137">
        <f>IFERROR(__xludf.DUMMYFUNCTION("INDEX(FILTER('Công T5'!$B$8:$C$89,'Công T5'!$C$8:$C$89=C144),1,1)"),10409.0)</f>
        <v>10409</v>
      </c>
      <c r="G144" s="138">
        <f>IFERROR(__xludf.DUMMYFUNCTION("IFERROR(INDEX(FILTER('Vân tay'!$A$5:$O330,'Vân tay'!$C$5:$C330=F144,'Vân tay'!$B$5:$B330=D144),1,10),"""")"),0.3215277777777778)</f>
        <v>0.3215277778</v>
      </c>
      <c r="H144" s="138" t="str">
        <f>IFERROR(__xludf.DUMMYFUNCTION("IFERROR(INDEX(FILTER('Vân tay'!$A$5:$O330,'Vân tay'!$C$5:$C330=F144,'Vân tay'!$B$5:$B330=D144),1,11),"""")"),"")</f>
        <v/>
      </c>
      <c r="I144" s="138">
        <f>IFERROR(__xludf.DUMMYFUNCTION("IFERROR(INDEX(FILTER('Vân tay'!$A$5:$O330,'Vân tay'!$C$5:$C330=F144,'Vân tay'!$B$5:$B330=D144),1,14),"""")"),0.3333333333333333)</f>
        <v>0.3333333333</v>
      </c>
      <c r="J144" s="138" t="str">
        <f>IFERROR(__xludf.DUMMYFUNCTION("IFERROR(INDEX(FILTER('Vân tay'!$A$5:$O330,'Vân tay'!$C$5:$C330=F144,'Vân tay'!$B$5:$B330=D144),1,15),"""")"),"")</f>
        <v/>
      </c>
      <c r="K144" s="139">
        <f t="shared" si="123"/>
        <v>0</v>
      </c>
      <c r="L144" s="139" t="str">
        <f t="shared" si="124"/>
        <v/>
      </c>
      <c r="M144" s="139">
        <v>1.0</v>
      </c>
      <c r="N144" s="140">
        <f t="shared" si="131"/>
        <v>0</v>
      </c>
      <c r="O144" s="140"/>
      <c r="P144" s="140">
        <f t="shared" si="125"/>
        <v>0</v>
      </c>
      <c r="Q144" s="140">
        <f>if(or(D144='Công T5'!$B$97,D144='Công T5'!$B$98,D144='Công T5'!$B$99,D144='Công T5'!$B$100,D144='Công T5'!$B$101),if(M144="CT",1,if(M144="C/2",0.5,M144)),0)</f>
        <v>0</v>
      </c>
      <c r="R144" s="140">
        <f t="shared" si="126"/>
        <v>0</v>
      </c>
      <c r="S144" s="141">
        <f t="shared" si="127"/>
        <v>0</v>
      </c>
      <c r="T144" s="140">
        <f t="shared" si="128"/>
        <v>0</v>
      </c>
      <c r="U144" s="140"/>
      <c r="V144" s="140"/>
      <c r="W144" s="140">
        <f t="shared" si="129"/>
        <v>0</v>
      </c>
      <c r="X144" s="142">
        <f t="shared" si="130"/>
        <v>0.03541666667</v>
      </c>
      <c r="Y144" s="143"/>
    </row>
    <row r="145">
      <c r="A145" s="135">
        <v>136.0</v>
      </c>
      <c r="B145" s="135" t="s">
        <v>225</v>
      </c>
      <c r="C145" s="135" t="s">
        <v>85</v>
      </c>
      <c r="D145" s="136">
        <v>44704.0</v>
      </c>
      <c r="E145" s="135" t="str">
        <f>IFERROR(VLOOKUP(C145,'Công T5'!$C$7:$F$89,4,0),"")</f>
        <v>NV</v>
      </c>
      <c r="F145" s="137">
        <f>IFERROR(__xludf.DUMMYFUNCTION("INDEX(FILTER('Công T5'!$B$8:$C$89,'Công T5'!$C$8:$C$89=C145),1,1)"),10409.0)</f>
        <v>10409</v>
      </c>
      <c r="G145" s="138">
        <f>IFERROR(__xludf.DUMMYFUNCTION("IFERROR(INDEX(FILTER('Vân tay'!$A$5:$O330,'Vân tay'!$C$5:$C330=F145,'Vân tay'!$B$5:$B330=D145),1,10),"""")"),0.3458333333333333)</f>
        <v>0.3458333333</v>
      </c>
      <c r="H145" s="138">
        <f>IFERROR(__xludf.DUMMYFUNCTION("IFERROR(INDEX(FILTER('Vân tay'!$A$5:$O330,'Vân tay'!$C$5:$C330=F145,'Vân tay'!$B$5:$B330=D145),1,11),"""")"),0.8298611111111112)</f>
        <v>0.8298611111</v>
      </c>
      <c r="I145" s="138">
        <f>IFERROR(__xludf.DUMMYFUNCTION("IFERROR(INDEX(FILTER('Vân tay'!$A$5:$O330,'Vân tay'!$C$5:$C330=F145,'Vân tay'!$B$5:$B330=D145),1,14),"""")"),0.3333333333333333)</f>
        <v>0.3333333333</v>
      </c>
      <c r="J145" s="138">
        <f>IFERROR(__xludf.DUMMYFUNCTION("IFERROR(INDEX(FILTER('Vân tay'!$A$5:$O330,'Vân tay'!$C$5:$C330=F145,'Vân tay'!$B$5:$B330=D145),1,15),"""")"),0.7083333333333334)</f>
        <v>0.7083333333</v>
      </c>
      <c r="K145" s="139">
        <f t="shared" si="123"/>
        <v>0.5</v>
      </c>
      <c r="L145" s="139">
        <f t="shared" si="124"/>
        <v>0.5</v>
      </c>
      <c r="M145" s="139">
        <f>if(B145="","",if(J145="",0.5,if(E145="NL",1,(K145+L145))))</f>
        <v>1</v>
      </c>
      <c r="N145" s="140"/>
      <c r="O145" s="140">
        <f>if(B145&lt;&gt;"",if(OR(J145="",M145=""),1,0),"")</f>
        <v>0</v>
      </c>
      <c r="P145" s="140">
        <f t="shared" si="125"/>
        <v>0</v>
      </c>
      <c r="Q145" s="140">
        <f>if(or(D145='Công T5'!$B$97,D145='Công T5'!$B$98,D145='Công T5'!$B$99,D145='Công T5'!$B$100,D145='Công T5'!$B$101),if(M145="CT",1,if(M145="C/2",0.5,M145)),0)</f>
        <v>0</v>
      </c>
      <c r="R145" s="140">
        <f t="shared" si="126"/>
        <v>0</v>
      </c>
      <c r="S145" s="141">
        <f t="shared" si="127"/>
        <v>0</v>
      </c>
      <c r="T145" s="140">
        <f t="shared" si="128"/>
        <v>0</v>
      </c>
      <c r="U145" s="140"/>
      <c r="V145" s="140"/>
      <c r="W145" s="140">
        <f t="shared" si="129"/>
        <v>0</v>
      </c>
      <c r="X145" s="142">
        <f t="shared" si="130"/>
        <v>0.3645833333</v>
      </c>
      <c r="Y145" s="143"/>
    </row>
    <row r="146">
      <c r="A146" s="135">
        <v>137.0</v>
      </c>
      <c r="B146" s="135" t="s">
        <v>187</v>
      </c>
      <c r="C146" s="135" t="s">
        <v>79</v>
      </c>
      <c r="D146" s="136">
        <v>44681.0</v>
      </c>
      <c r="E146" s="135" t="str">
        <f>IFERROR(VLOOKUP(C146,'Công T5'!$C$7:$F$89,4,0),"")</f>
        <v>NV</v>
      </c>
      <c r="F146" s="137">
        <f>IFERROR(__xludf.DUMMYFUNCTION("INDEX(FILTER('Công T5'!$B$8:$C$89,'Công T5'!$C$8:$C$89=C146),1,1)"),10080.0)</f>
        <v>10080</v>
      </c>
      <c r="G146" s="138"/>
      <c r="H146" s="138"/>
      <c r="I146" s="138"/>
      <c r="J146" s="138"/>
      <c r="K146" s="139"/>
      <c r="L146" s="139"/>
      <c r="M146" s="139" t="s">
        <v>43</v>
      </c>
      <c r="N146" s="140"/>
      <c r="O146" s="140"/>
      <c r="P146" s="140"/>
      <c r="Q146" s="140"/>
      <c r="R146" s="140"/>
      <c r="S146" s="141"/>
      <c r="T146" s="140"/>
      <c r="U146" s="140"/>
      <c r="V146" s="140"/>
      <c r="W146" s="140"/>
      <c r="X146" s="142"/>
      <c r="Y146" s="143"/>
    </row>
    <row r="147">
      <c r="A147" s="135">
        <v>138.0</v>
      </c>
      <c r="B147" s="135" t="s">
        <v>187</v>
      </c>
      <c r="C147" s="135" t="s">
        <v>79</v>
      </c>
      <c r="D147" s="136">
        <v>44682.0</v>
      </c>
      <c r="E147" s="135" t="str">
        <f>IFERROR(VLOOKUP(C147,'Công T5'!$C$7:$F$89,4,0),"")</f>
        <v>NV</v>
      </c>
      <c r="F147" s="137">
        <f>IFERROR(__xludf.DUMMYFUNCTION("INDEX(FILTER('Công T5'!$B$8:$C$89,'Công T5'!$C$8:$C$89=C147),1,1)"),10080.0)</f>
        <v>10080</v>
      </c>
      <c r="G147" s="138"/>
      <c r="H147" s="138"/>
      <c r="I147" s="138"/>
      <c r="J147" s="138"/>
      <c r="K147" s="139"/>
      <c r="L147" s="139"/>
      <c r="M147" s="139" t="s">
        <v>43</v>
      </c>
      <c r="N147" s="140"/>
      <c r="O147" s="140"/>
      <c r="P147" s="140"/>
      <c r="Q147" s="140"/>
      <c r="R147" s="140"/>
      <c r="S147" s="141"/>
      <c r="T147" s="140"/>
      <c r="U147" s="140"/>
      <c r="V147" s="140"/>
      <c r="W147" s="140"/>
      <c r="X147" s="142"/>
      <c r="Y147" s="143"/>
    </row>
    <row r="148">
      <c r="A148" s="135">
        <v>139.0</v>
      </c>
      <c r="B148" s="135" t="s">
        <v>226</v>
      </c>
      <c r="C148" s="135" t="s">
        <v>79</v>
      </c>
      <c r="D148" s="136">
        <v>44692.0</v>
      </c>
      <c r="E148" s="135" t="str">
        <f>IFERROR(VLOOKUP(C148,'Công T5'!$C$7:$F$89,4,0),"")</f>
        <v>NV</v>
      </c>
      <c r="F148" s="137">
        <f>IFERROR(__xludf.DUMMYFUNCTION("INDEX(FILTER('Công T5'!$B$8:$C$89,'Công T5'!$C$8:$C$89=C148),1,1)"),10080.0)</f>
        <v>10080</v>
      </c>
      <c r="G148" s="138">
        <f>IFERROR(__xludf.DUMMYFUNCTION("IFERROR(INDEX(FILTER('Vân tay'!$A$5:$O330,'Vân tay'!$C$5:$C330=F148,'Vân tay'!$B$5:$B330=D148),1,10),"""")"),0.5388888888888889)</f>
        <v>0.5388888889</v>
      </c>
      <c r="H148" s="138">
        <f>IFERROR(__xludf.DUMMYFUNCTION("IFERROR(INDEX(FILTER('Vân tay'!$A$5:$O330,'Vân tay'!$C$5:$C330=F148,'Vân tay'!$B$5:$B330=D148),1,11),"""")"),0.7284722222222222)</f>
        <v>0.7284722222</v>
      </c>
      <c r="I148" s="138">
        <f>IFERROR(__xludf.DUMMYFUNCTION("IFERROR(INDEX(FILTER('Vân tay'!$A$5:$O330,'Vân tay'!$C$5:$C330=F148,'Vân tay'!$B$5:$B330=D148),1,14),"""")"),0.5416666666666666)</f>
        <v>0.5416666667</v>
      </c>
      <c r="J148" s="138">
        <f>IFERROR(__xludf.DUMMYFUNCTION("IFERROR(INDEX(FILTER('Vân tay'!$A$5:$O330,'Vân tay'!$C$5:$C330=F148,'Vân tay'!$B$5:$B330=D148),1,15),"""")"),0.7083333333333334)</f>
        <v>0.7083333333</v>
      </c>
      <c r="K148" s="139">
        <f t="shared" ref="K148:K149" si="132">if(B148="","",if(J148&lt;&gt;"",if(I148&lt;$L$1,if(J148&lt;$L$1,J148-I148,$L$1-I148),0),"")*24/8)</f>
        <v>0</v>
      </c>
      <c r="L148" s="139">
        <f t="shared" ref="L148:L149" si="133">if(I148="","",if(J148="","",if(J148&gt;$M$1,if(I148&lt;$M$1,J148-$M$1,J148-I148)*24/8,"")))</f>
        <v>0.5</v>
      </c>
      <c r="M148" s="139">
        <f t="shared" ref="M148:M149" si="134">if(B148="","",if(J148="",0.5,if(E148="NL",1,(K148+L148))))</f>
        <v>0.5</v>
      </c>
      <c r="N148" s="140"/>
      <c r="O148" s="140">
        <f t="shared" ref="O148:O149" si="135">if(B148&lt;&gt;"",if(OR(J148="",M148=""),1,0),"")</f>
        <v>0</v>
      </c>
      <c r="P148" s="140">
        <f t="shared" ref="P148:P149" si="136">if(Y148="làm thêm ngày thường",X148,if(Y148="làm thêm T7, CN",M148,0))</f>
        <v>0</v>
      </c>
      <c r="Q148" s="140">
        <f>if(or(D148='Công T5'!$B$97,D148='Công T5'!$B$98,D148='Công T5'!$B$99,D148='Công T5'!$B$100,D148='Công T5'!$B$101),if(M148="CT",1,if(M148="C/2",0.5,M148)),0)</f>
        <v>0</v>
      </c>
      <c r="R148" s="140">
        <f t="shared" ref="R148:R149" si="137">if(and(or(WEEKDAY(D148,3)&lt;5,D148=$E$1,D148=$F$1,D148=$G$1),G148&lt;$Q$1,G148&lt;&gt;""),1,0)+if(and(or(WEEKDAY(D148,3)&lt;5,D148=$E$1,D148=$F$1,D148=$G$1),H148&gt;$R$1,H148&lt;&gt;""),1,0)</f>
        <v>0</v>
      </c>
      <c r="S148" s="141">
        <f t="shared" ref="S148:S149" si="138">if(and(WEEKDAY(D148,3)&gt;4,D148&lt;&gt;$E$1,D148&lt;&gt;$F$1,D148&lt;&gt;$G$1,G148&lt;$Q$1,G148&lt;&gt;""),1,0)+if(and(WEEKDAY(D148,3)&gt;4,D148&lt;&gt;$E$1,D148&lt;&gt;$F$1,D148&lt;&gt;$G$1,H148&gt;$R$1,H148&lt;&gt;""),1,0)</f>
        <v>0</v>
      </c>
      <c r="T148" s="140">
        <f t="shared" ref="T148:T149" si="139">if(and(E148="ĐT",H148&lt;&gt;"",H148&gt;$R$1),1,0)</f>
        <v>0</v>
      </c>
      <c r="U148" s="140"/>
      <c r="V148" s="140"/>
      <c r="W148" s="140">
        <f t="shared" ref="W148:W149" si="140">if(E148="LX",if(and(G148&lt;$S$1,H148&gt;$T$1,M148&lt;&gt;1,M148&lt;&gt;"CT"),1,""),"")+if(E148="LX",if(and(G148&lt;$U$1,H148&gt;$V$1),1,""),"")</f>
        <v>0</v>
      </c>
      <c r="X148" s="142">
        <f t="shared" ref="X148:X149" si="141">if(B148="","",(if($I$1-G148&gt;0,$I$1-G148,0)+if(H148-$N$1&gt;0,H148-$N$1,0))*24/8)</f>
        <v>0.06041666667</v>
      </c>
      <c r="Y148" s="143"/>
    </row>
    <row r="149">
      <c r="A149" s="135">
        <v>140.0</v>
      </c>
      <c r="B149" s="135" t="s">
        <v>227</v>
      </c>
      <c r="C149" s="135" t="s">
        <v>79</v>
      </c>
      <c r="D149" s="136">
        <v>44692.0</v>
      </c>
      <c r="E149" s="135" t="str">
        <f>IFERROR(VLOOKUP(C149,'Công T5'!$C$7:$F$89,4,0),"")</f>
        <v>NV</v>
      </c>
      <c r="F149" s="137">
        <f>IFERROR(__xludf.DUMMYFUNCTION("INDEX(FILTER('Công T5'!$B$8:$C$89,'Công T5'!$C$8:$C$89=C149),1,1)"),10080.0)</f>
        <v>10080</v>
      </c>
      <c r="G149" s="138">
        <f>IFERROR(__xludf.DUMMYFUNCTION("IFERROR(INDEX(FILTER('Vân tay'!$A$5:$O330,'Vân tay'!$C$5:$C330=F149,'Vân tay'!$B$5:$B330=D149),1,10),"""")"),0.5388888888888889)</f>
        <v>0.5388888889</v>
      </c>
      <c r="H149" s="138">
        <f>IFERROR(__xludf.DUMMYFUNCTION("IFERROR(INDEX(FILTER('Vân tay'!$A$5:$O330,'Vân tay'!$C$5:$C330=F149,'Vân tay'!$B$5:$B330=D149),1,11),"""")"),0.7284722222222222)</f>
        <v>0.7284722222</v>
      </c>
      <c r="I149" s="138">
        <f>IFERROR(__xludf.DUMMYFUNCTION("IFERROR(INDEX(FILTER('Vân tay'!$A$5:$O330,'Vân tay'!$C$5:$C330=F149,'Vân tay'!$B$5:$B330=D149),1,14),"""")"),0.5416666666666666)</f>
        <v>0.5416666667</v>
      </c>
      <c r="J149" s="138">
        <f>IFERROR(__xludf.DUMMYFUNCTION("IFERROR(INDEX(FILTER('Vân tay'!$A$5:$O330,'Vân tay'!$C$5:$C330=F149,'Vân tay'!$B$5:$B330=D149),1,15),"""")"),0.7083333333333334)</f>
        <v>0.7083333333</v>
      </c>
      <c r="K149" s="139">
        <f t="shared" si="132"/>
        <v>0</v>
      </c>
      <c r="L149" s="139">
        <f t="shared" si="133"/>
        <v>0.5</v>
      </c>
      <c r="M149" s="139">
        <f t="shared" si="134"/>
        <v>0.5</v>
      </c>
      <c r="N149" s="140"/>
      <c r="O149" s="140">
        <f t="shared" si="135"/>
        <v>0</v>
      </c>
      <c r="P149" s="140">
        <f t="shared" si="136"/>
        <v>0</v>
      </c>
      <c r="Q149" s="140">
        <f>if(or(D149='Công T5'!$B$97,D149='Công T5'!$B$98,D149='Công T5'!$B$99,D149='Công T5'!$B$100,D149='Công T5'!$B$101),if(M149="CT",1,if(M149="C/2",0.5,M149)),0)</f>
        <v>0</v>
      </c>
      <c r="R149" s="140">
        <f t="shared" si="137"/>
        <v>0</v>
      </c>
      <c r="S149" s="141">
        <f t="shared" si="138"/>
        <v>0</v>
      </c>
      <c r="T149" s="140">
        <f t="shared" si="139"/>
        <v>0</v>
      </c>
      <c r="U149" s="140"/>
      <c r="V149" s="140"/>
      <c r="W149" s="140">
        <f t="shared" si="140"/>
        <v>0</v>
      </c>
      <c r="X149" s="142">
        <f t="shared" si="141"/>
        <v>0.06041666667</v>
      </c>
      <c r="Y149" s="143"/>
    </row>
    <row r="150">
      <c r="A150" s="135">
        <v>141.0</v>
      </c>
      <c r="B150" s="135" t="s">
        <v>187</v>
      </c>
      <c r="C150" s="135" t="s">
        <v>80</v>
      </c>
      <c r="D150" s="136">
        <v>44681.0</v>
      </c>
      <c r="E150" s="135" t="str">
        <f>IFERROR(VLOOKUP(C150,'Công T5'!$C$7:$F$89,4,0),"")</f>
        <v>NV</v>
      </c>
      <c r="F150" s="137">
        <f>IFERROR(__xludf.DUMMYFUNCTION("INDEX(FILTER('Công T5'!$B$8:$C$89,'Công T5'!$C$8:$C$89=C150),1,1)"),10011.0)</f>
        <v>10011</v>
      </c>
      <c r="G150" s="138"/>
      <c r="H150" s="138"/>
      <c r="I150" s="138"/>
      <c r="J150" s="138"/>
      <c r="K150" s="139"/>
      <c r="L150" s="139"/>
      <c r="M150" s="139" t="s">
        <v>43</v>
      </c>
      <c r="N150" s="140"/>
      <c r="O150" s="140"/>
      <c r="P150" s="140"/>
      <c r="Q150" s="140"/>
      <c r="R150" s="140"/>
      <c r="S150" s="141"/>
      <c r="T150" s="140"/>
      <c r="U150" s="140"/>
      <c r="V150" s="140"/>
      <c r="W150" s="140"/>
      <c r="X150" s="142"/>
      <c r="Y150" s="143"/>
    </row>
    <row r="151">
      <c r="A151" s="135">
        <v>142.0</v>
      </c>
      <c r="B151" s="135" t="s">
        <v>187</v>
      </c>
      <c r="C151" s="135" t="s">
        <v>80</v>
      </c>
      <c r="D151" s="136">
        <v>44682.0</v>
      </c>
      <c r="E151" s="135" t="str">
        <f>IFERROR(VLOOKUP(C151,'Công T5'!$C$7:$F$89,4,0),"")</f>
        <v>NV</v>
      </c>
      <c r="F151" s="137">
        <f>IFERROR(__xludf.DUMMYFUNCTION("INDEX(FILTER('Công T5'!$B$8:$C$89,'Công T5'!$C$8:$C$89=C151),1,1)"),10011.0)</f>
        <v>10011</v>
      </c>
      <c r="G151" s="138"/>
      <c r="H151" s="138"/>
      <c r="I151" s="138"/>
      <c r="J151" s="138"/>
      <c r="K151" s="139"/>
      <c r="L151" s="139"/>
      <c r="M151" s="139" t="s">
        <v>43</v>
      </c>
      <c r="N151" s="140"/>
      <c r="O151" s="140"/>
      <c r="P151" s="140"/>
      <c r="Q151" s="140"/>
      <c r="R151" s="140"/>
      <c r="S151" s="141"/>
      <c r="T151" s="140"/>
      <c r="U151" s="140"/>
      <c r="V151" s="140"/>
      <c r="W151" s="140"/>
      <c r="X151" s="142"/>
      <c r="Y151" s="143"/>
    </row>
    <row r="152">
      <c r="A152" s="135">
        <v>143.0</v>
      </c>
      <c r="B152" s="135" t="s">
        <v>228</v>
      </c>
      <c r="C152" s="135" t="s">
        <v>80</v>
      </c>
      <c r="D152" s="136">
        <v>44695.0</v>
      </c>
      <c r="E152" s="135" t="str">
        <f>IFERROR(VLOOKUP(C152,'Công T5'!$C$7:$F$89,4,0),"")</f>
        <v>NV</v>
      </c>
      <c r="F152" s="137">
        <f>IFERROR(__xludf.DUMMYFUNCTION("INDEX(FILTER('Công T5'!$B$8:$C$89,'Công T5'!$C$8:$C$89=C152),1,1)"),10011.0)</f>
        <v>10011</v>
      </c>
      <c r="G152" s="138" t="str">
        <f>IFERROR(__xludf.DUMMYFUNCTION("IFERROR(INDEX(FILTER('Vân tay'!$A$5:$O330,'Vân tay'!$C$5:$C330=F152,'Vân tay'!$B$5:$B330=D152),1,10),"""")"),"")</f>
        <v/>
      </c>
      <c r="H152" s="138" t="str">
        <f>IFERROR(__xludf.DUMMYFUNCTION("IFERROR(INDEX(FILTER('Vân tay'!$A$5:$O330,'Vân tay'!$C$5:$C330=F152,'Vân tay'!$B$5:$B330=D152),1,11),"""")"),"")</f>
        <v/>
      </c>
      <c r="I152" s="138" t="str">
        <f>IFERROR(__xludf.DUMMYFUNCTION("IFERROR(INDEX(FILTER('Vân tay'!$A$5:$O330,'Vân tay'!$C$5:$C330=F152,'Vân tay'!$B$5:$B330=D152),1,14),"""")"),"")</f>
        <v/>
      </c>
      <c r="J152" s="138" t="str">
        <f>IFERROR(__xludf.DUMMYFUNCTION("IFERROR(INDEX(FILTER('Vân tay'!$A$5:$O330,'Vân tay'!$C$5:$C330=F152,'Vân tay'!$B$5:$B330=D152),1,15),"""")"),"")</f>
        <v/>
      </c>
      <c r="K152" s="139">
        <f t="shared" ref="K152:K154" si="142">if(B152="","",if(J152&lt;&gt;"",if(I152&lt;$L$1,if(J152&lt;$L$1,J152-I152,$L$1-I152),0),"")*24/8)</f>
        <v>0</v>
      </c>
      <c r="L152" s="139" t="str">
        <f t="shared" ref="L152:L154" si="143">if(I152="","",if(J152="","",if(J152&gt;$M$1,if(I152&lt;$M$1,J152-$M$1,J152-I152)*24/8,"")))</f>
        <v/>
      </c>
      <c r="M152" s="139" t="s">
        <v>81</v>
      </c>
      <c r="N152" s="140" t="str">
        <f t="shared" ref="N152:N153" si="144">if(G152&lt;&gt;"",if(G152&gt;$I$1,1,0),"")</f>
        <v/>
      </c>
      <c r="O152" s="140"/>
      <c r="P152" s="140">
        <f t="shared" ref="P152:P154" si="145">if(Y152="làm thêm ngày thường",X152,if(Y152="làm thêm T7, CN",M152,0))</f>
        <v>0</v>
      </c>
      <c r="Q152" s="140">
        <f>if(or(D152='Công T5'!$B$97,D152='Công T5'!$B$98,D152='Công T5'!$B$99,D152='Công T5'!$B$100,D152='Công T5'!$B$101),if(M152="CT",1,if(M152="C/2",0.5,M152)),0)</f>
        <v>0</v>
      </c>
      <c r="R152" s="140">
        <f t="shared" ref="R152:R154" si="146">if(and(or(WEEKDAY(D152,3)&lt;5,D152=$E$1,D152=$F$1,D152=$G$1),G152&lt;$Q$1,G152&lt;&gt;""),1,0)+if(and(or(WEEKDAY(D152,3)&lt;5,D152=$E$1,D152=$F$1,D152=$G$1),H152&gt;$R$1,H152&lt;&gt;""),1,0)</f>
        <v>0</v>
      </c>
      <c r="S152" s="141">
        <f t="shared" ref="S152:S154" si="147">if(and(WEEKDAY(D152,3)&gt;4,D152&lt;&gt;$E$1,D152&lt;&gt;$F$1,D152&lt;&gt;$G$1,G152&lt;$Q$1,G152&lt;&gt;""),1,0)+if(and(WEEKDAY(D152,3)&gt;4,D152&lt;&gt;$E$1,D152&lt;&gt;$F$1,D152&lt;&gt;$G$1,H152&gt;$R$1,H152&lt;&gt;""),1,0)</f>
        <v>0</v>
      </c>
      <c r="T152" s="140">
        <f t="shared" ref="T152:T154" si="148">if(and(E152="ĐT",H152&lt;&gt;"",H152&gt;$R$1),1,0)</f>
        <v>0</v>
      </c>
      <c r="U152" s="140"/>
      <c r="V152" s="140"/>
      <c r="W152" s="140">
        <f t="shared" ref="W152:W154" si="149">if(E152="LX",if(and(G152&lt;$S$1,H152&gt;$T$1,M152&lt;&gt;1,M152&lt;&gt;"CT"),1,""),"")+if(E152="LX",if(and(G152&lt;$U$1,H152&gt;$V$1),1,""),"")</f>
        <v>0</v>
      </c>
      <c r="X152" s="142">
        <f t="shared" ref="X152:X154" si="150">if(B152="","",(if($I$1-G152&gt;0,$I$1-G152,0)+if(H152-$N$1&gt;0,H152-$N$1,0))*24/8)</f>
        <v>1</v>
      </c>
      <c r="Y152" s="143"/>
    </row>
    <row r="153">
      <c r="A153" s="135">
        <v>144.0</v>
      </c>
      <c r="B153" s="135" t="s">
        <v>228</v>
      </c>
      <c r="C153" s="135" t="s">
        <v>80</v>
      </c>
      <c r="D153" s="136">
        <v>44696.0</v>
      </c>
      <c r="E153" s="135" t="str">
        <f>IFERROR(VLOOKUP(C153,'Công T5'!$C$7:$F$89,4,0),"")</f>
        <v>NV</v>
      </c>
      <c r="F153" s="137">
        <f>IFERROR(__xludf.DUMMYFUNCTION("INDEX(FILTER('Công T5'!$B$8:$C$89,'Công T5'!$C$8:$C$89=C153),1,1)"),10011.0)</f>
        <v>10011</v>
      </c>
      <c r="G153" s="138" t="str">
        <f>IFERROR(__xludf.DUMMYFUNCTION("IFERROR(INDEX(FILTER('Vân tay'!$A$5:$O330,'Vân tay'!$C$5:$C330=F153,'Vân tay'!$B$5:$B330=D153),1,10),"""")"),"")</f>
        <v/>
      </c>
      <c r="H153" s="138" t="str">
        <f>IFERROR(__xludf.DUMMYFUNCTION("IFERROR(INDEX(FILTER('Vân tay'!$A$5:$O330,'Vân tay'!$C$5:$C330=F153,'Vân tay'!$B$5:$B330=D153),1,11),"""")"),"")</f>
        <v/>
      </c>
      <c r="I153" s="138" t="str">
        <f>IFERROR(__xludf.DUMMYFUNCTION("IFERROR(INDEX(FILTER('Vân tay'!$A$5:$O330,'Vân tay'!$C$5:$C330=F153,'Vân tay'!$B$5:$B330=D153),1,14),"""")"),"")</f>
        <v/>
      </c>
      <c r="J153" s="138" t="str">
        <f>IFERROR(__xludf.DUMMYFUNCTION("IFERROR(INDEX(FILTER('Vân tay'!$A$5:$O330,'Vân tay'!$C$5:$C330=F153,'Vân tay'!$B$5:$B330=D153),1,15),"""")"),"")</f>
        <v/>
      </c>
      <c r="K153" s="139">
        <f t="shared" si="142"/>
        <v>0</v>
      </c>
      <c r="L153" s="139" t="str">
        <f t="shared" si="143"/>
        <v/>
      </c>
      <c r="M153" s="139" t="s">
        <v>81</v>
      </c>
      <c r="N153" s="140" t="str">
        <f t="shared" si="144"/>
        <v/>
      </c>
      <c r="O153" s="140"/>
      <c r="P153" s="140">
        <f t="shared" si="145"/>
        <v>0</v>
      </c>
      <c r="Q153" s="140">
        <f>if(or(D153='Công T5'!$B$97,D153='Công T5'!$B$98,D153='Công T5'!$B$99,D153='Công T5'!$B$100,D153='Công T5'!$B$101),if(M153="CT",1,if(M153="C/2",0.5,M153)),0)</f>
        <v>0</v>
      </c>
      <c r="R153" s="140">
        <f t="shared" si="146"/>
        <v>0</v>
      </c>
      <c r="S153" s="141">
        <f t="shared" si="147"/>
        <v>0</v>
      </c>
      <c r="T153" s="140">
        <f t="shared" si="148"/>
        <v>0</v>
      </c>
      <c r="U153" s="140"/>
      <c r="V153" s="140"/>
      <c r="W153" s="140">
        <f t="shared" si="149"/>
        <v>0</v>
      </c>
      <c r="X153" s="142">
        <f t="shared" si="150"/>
        <v>1</v>
      </c>
      <c r="Y153" s="143"/>
    </row>
    <row r="154">
      <c r="A154" s="135">
        <v>145.0</v>
      </c>
      <c r="B154" s="135" t="s">
        <v>229</v>
      </c>
      <c r="C154" s="135" t="s">
        <v>80</v>
      </c>
      <c r="D154" s="136">
        <v>44700.0</v>
      </c>
      <c r="E154" s="135" t="str">
        <f>IFERROR(VLOOKUP(C154,'Công T5'!$C$7:$F$89,4,0),"")</f>
        <v>NV</v>
      </c>
      <c r="F154" s="137">
        <f>IFERROR(__xludf.DUMMYFUNCTION("INDEX(FILTER('Công T5'!$B$8:$C$89,'Công T5'!$C$8:$C$89=C154),1,1)"),10011.0)</f>
        <v>10011</v>
      </c>
      <c r="G154" s="138">
        <f>IFERROR(__xludf.DUMMYFUNCTION("IFERROR(INDEX(FILTER('Vân tay'!$A$5:$O330,'Vân tay'!$C$5:$C330=F154,'Vân tay'!$B$5:$B330=D154),1,10),"""")"),0.5027777777777778)</f>
        <v>0.5027777778</v>
      </c>
      <c r="H154" s="138">
        <f>IFERROR(__xludf.DUMMYFUNCTION("IFERROR(INDEX(FILTER('Vân tay'!$A$5:$O330,'Vân tay'!$C$5:$C330=F154,'Vân tay'!$B$5:$B330=D154),1,11),"""")"),0.7270833333333333)</f>
        <v>0.7270833333</v>
      </c>
      <c r="I154" s="138">
        <f>IFERROR(__xludf.DUMMYFUNCTION("IFERROR(INDEX(FILTER('Vân tay'!$A$5:$O330,'Vân tay'!$C$5:$C330=F154,'Vân tay'!$B$5:$B330=D154),1,14),"""")"),0.5416666666666666)</f>
        <v>0.5416666667</v>
      </c>
      <c r="J154" s="138">
        <f>IFERROR(__xludf.DUMMYFUNCTION("IFERROR(INDEX(FILTER('Vân tay'!$A$5:$O330,'Vân tay'!$C$5:$C330=F154,'Vân tay'!$B$5:$B330=D154),1,15),"""")"),0.7083333333333334)</f>
        <v>0.7083333333</v>
      </c>
      <c r="K154" s="139">
        <f t="shared" si="142"/>
        <v>0</v>
      </c>
      <c r="L154" s="139">
        <f t="shared" si="143"/>
        <v>0.5</v>
      </c>
      <c r="M154" s="139">
        <f>if(B154="","",if(J154="",0.5,if(E154="NL",1,(K154+L154))))</f>
        <v>0.5</v>
      </c>
      <c r="N154" s="140"/>
      <c r="O154" s="140">
        <f>if(B154&lt;&gt;"",if(OR(J154="",M154=""),1,0),"")</f>
        <v>0</v>
      </c>
      <c r="P154" s="140">
        <f t="shared" si="145"/>
        <v>0</v>
      </c>
      <c r="Q154" s="140">
        <f>if(or(D154='Công T5'!$B$97,D154='Công T5'!$B$98,D154='Công T5'!$B$99,D154='Công T5'!$B$100,D154='Công T5'!$B$101),if(M154="CT",1,if(M154="C/2",0.5,M154)),0)</f>
        <v>0</v>
      </c>
      <c r="R154" s="140">
        <f t="shared" si="146"/>
        <v>0</v>
      </c>
      <c r="S154" s="141">
        <f t="shared" si="147"/>
        <v>0</v>
      </c>
      <c r="T154" s="140">
        <f t="shared" si="148"/>
        <v>0</v>
      </c>
      <c r="U154" s="140"/>
      <c r="V154" s="140"/>
      <c r="W154" s="140">
        <f t="shared" si="149"/>
        <v>0</v>
      </c>
      <c r="X154" s="142">
        <f t="shared" si="150"/>
        <v>0.05625</v>
      </c>
      <c r="Y154" s="143"/>
    </row>
    <row r="155">
      <c r="A155" s="135">
        <v>146.0</v>
      </c>
      <c r="B155" s="135" t="s">
        <v>187</v>
      </c>
      <c r="C155" s="135" t="s">
        <v>82</v>
      </c>
      <c r="D155" s="136">
        <v>44681.0</v>
      </c>
      <c r="E155" s="135" t="str">
        <f>IFERROR(VLOOKUP(C155,'Công T5'!$C$7:$F$89,4,0),"")</f>
        <v>NV</v>
      </c>
      <c r="F155" s="137">
        <f>IFERROR(__xludf.DUMMYFUNCTION("INDEX(FILTER('Công T5'!$B$8:$C$89,'Công T5'!$C$8:$C$89=C155),1,1)"),10360.0)</f>
        <v>10360</v>
      </c>
      <c r="G155" s="138"/>
      <c r="H155" s="138"/>
      <c r="I155" s="138"/>
      <c r="J155" s="138"/>
      <c r="K155" s="139"/>
      <c r="L155" s="139"/>
      <c r="M155" s="139" t="s">
        <v>43</v>
      </c>
      <c r="N155" s="140"/>
      <c r="O155" s="140"/>
      <c r="P155" s="140"/>
      <c r="Q155" s="140"/>
      <c r="R155" s="140"/>
      <c r="S155" s="141"/>
      <c r="T155" s="140"/>
      <c r="U155" s="140"/>
      <c r="V155" s="140"/>
      <c r="W155" s="140"/>
      <c r="X155" s="142"/>
      <c r="Y155" s="143"/>
    </row>
    <row r="156">
      <c r="A156" s="135">
        <v>147.0</v>
      </c>
      <c r="B156" s="135" t="s">
        <v>230</v>
      </c>
      <c r="C156" s="135" t="s">
        <v>82</v>
      </c>
      <c r="D156" s="136">
        <v>44682.0</v>
      </c>
      <c r="E156" s="135" t="str">
        <f>IFERROR(VLOOKUP(C156,'Công T5'!$C$7:$F$89,4,0),"")</f>
        <v>NV</v>
      </c>
      <c r="F156" s="137">
        <f>IFERROR(__xludf.DUMMYFUNCTION("INDEX(FILTER('Công T5'!$B$8:$C$89,'Công T5'!$C$8:$C$89=C156),1,1)"),10360.0)</f>
        <v>10360</v>
      </c>
      <c r="G156" s="138" t="str">
        <f>IFERROR(__xludf.DUMMYFUNCTION("IFERROR(INDEX(FILTER('Vân tay'!$A$5:$O330,'Vân tay'!$C$5:$C330=F156,'Vân tay'!$B$5:$B330=D156),1,10),"""")"),"")</f>
        <v/>
      </c>
      <c r="H156" s="138" t="str">
        <f>IFERROR(__xludf.DUMMYFUNCTION("IFERROR(INDEX(FILTER('Vân tay'!$A$5:$O330,'Vân tay'!$C$5:$C330=F156,'Vân tay'!$B$5:$B330=D156),1,11),"""")"),"")</f>
        <v/>
      </c>
      <c r="I156" s="138" t="str">
        <f>IFERROR(__xludf.DUMMYFUNCTION("IFERROR(INDEX(FILTER('Vân tay'!$A$5:$O330,'Vân tay'!$C$5:$C330=F156,'Vân tay'!$B$5:$B330=D156),1,14),"""")"),"")</f>
        <v/>
      </c>
      <c r="J156" s="138" t="str">
        <f>IFERROR(__xludf.DUMMYFUNCTION("IFERROR(INDEX(FILTER('Vân tay'!$A$5:$O330,'Vân tay'!$C$5:$C330=F156,'Vân tay'!$B$5:$B330=D156),1,15),"""")"),"")</f>
        <v/>
      </c>
      <c r="K156" s="139">
        <f>if(B156="","",if(J156&lt;&gt;"",if(I156&lt;$L$1,if(J156&lt;$L$1,J156-I156,$L$1-I156),0),"")*24/8)</f>
        <v>0</v>
      </c>
      <c r="L156" s="139" t="str">
        <f>if(I156="","",if(J156="","",if(J156&gt;$M$1,if(I156&lt;$M$1,J156-$M$1,J156-I156)*24/8,"")))</f>
        <v/>
      </c>
      <c r="M156" s="139" t="s">
        <v>60</v>
      </c>
      <c r="N156" s="140" t="str">
        <f>if(G156&lt;&gt;"",if(G156&gt;$I$1,1,0),"")</f>
        <v/>
      </c>
      <c r="O156" s="140"/>
      <c r="P156" s="140">
        <f>if(Y156="làm thêm ngày thường",X156,if(Y156="làm thêm T7, CN",M156,0))</f>
        <v>0</v>
      </c>
      <c r="Q156" s="139"/>
      <c r="R156" s="140">
        <f>if(and(or(WEEKDAY(D156,3)&lt;5,D156=$E$1,D156=$F$1,D156=$G$1),G156&lt;$Q$1,G156&lt;&gt;""),1,0)+if(and(or(WEEKDAY(D156,3)&lt;5,D156=$E$1,D156=$F$1,D156=$G$1),H156&gt;$R$1,H156&lt;&gt;""),1,0)</f>
        <v>0</v>
      </c>
      <c r="S156" s="141">
        <f>if(and(WEEKDAY(D156,3)&gt;4,D156&lt;&gt;$E$1,D156&lt;&gt;$F$1,D156&lt;&gt;$G$1,G156&lt;$Q$1,G156&lt;&gt;""),1,0)+if(and(WEEKDAY(D156,3)&gt;4,D156&lt;&gt;$E$1,D156&lt;&gt;$F$1,D156&lt;&gt;$G$1,H156&gt;$R$1,H156&lt;&gt;""),1,0)</f>
        <v>0</v>
      </c>
      <c r="T156" s="140">
        <f>if(and(E156="ĐT",H156&lt;&gt;"",H156&gt;$R$1),1,0)</f>
        <v>0</v>
      </c>
      <c r="U156" s="140"/>
      <c r="V156" s="140"/>
      <c r="W156" s="140">
        <f>if(E156="LX",if(and(G156&lt;$S$1,H156&gt;$T$1,M156&lt;&gt;1,M156&lt;&gt;"CT"),1,""),"")+if(E156="LX",if(and(G156&lt;$U$1,H156&gt;$V$1),1,""),"")</f>
        <v>0</v>
      </c>
      <c r="X156" s="142">
        <f>if(B156="","",(if($I$1-G156&gt;0,$I$1-G156,0)+if(H156-$N$1&gt;0,H156-$N$1,0))*24/8)</f>
        <v>1</v>
      </c>
      <c r="Y156" s="143"/>
    </row>
    <row r="157">
      <c r="A157" s="135">
        <v>148.0</v>
      </c>
      <c r="B157" s="135" t="s">
        <v>187</v>
      </c>
      <c r="C157" s="135" t="s">
        <v>82</v>
      </c>
      <c r="D157" s="136">
        <v>44682.0</v>
      </c>
      <c r="E157" s="135" t="str">
        <f>IFERROR(VLOOKUP(C157,'Công T5'!$C$7:$F$89,4,0),"")</f>
        <v>NV</v>
      </c>
      <c r="F157" s="137">
        <f>IFERROR(__xludf.DUMMYFUNCTION("INDEX(FILTER('Công T5'!$B$8:$C$89,'Công T5'!$C$8:$C$89=C157),1,1)"),10360.0)</f>
        <v>10360</v>
      </c>
      <c r="G157" s="138"/>
      <c r="H157" s="138"/>
      <c r="I157" s="138"/>
      <c r="J157" s="138"/>
      <c r="K157" s="139"/>
      <c r="L157" s="139"/>
      <c r="M157" s="139" t="s">
        <v>43</v>
      </c>
      <c r="N157" s="140"/>
      <c r="O157" s="140"/>
      <c r="P157" s="140"/>
      <c r="Q157" s="140"/>
      <c r="R157" s="140"/>
      <c r="S157" s="141"/>
      <c r="T157" s="140"/>
      <c r="U157" s="140"/>
      <c r="V157" s="140"/>
      <c r="W157" s="140"/>
      <c r="X157" s="142"/>
      <c r="Y157" s="143"/>
    </row>
    <row r="158">
      <c r="A158" s="135">
        <v>149.0</v>
      </c>
      <c r="B158" s="135" t="s">
        <v>231</v>
      </c>
      <c r="C158" s="135" t="s">
        <v>82</v>
      </c>
      <c r="D158" s="136">
        <v>44695.0</v>
      </c>
      <c r="E158" s="135" t="str">
        <f>IFERROR(VLOOKUP(C158,'Công T5'!$C$7:$F$89,4,0),"")</f>
        <v>NV</v>
      </c>
      <c r="F158" s="137">
        <f>IFERROR(__xludf.DUMMYFUNCTION("INDEX(FILTER('Công T5'!$B$8:$C$89,'Công T5'!$C$8:$C$89=C158),1,1)"),10360.0)</f>
        <v>10360</v>
      </c>
      <c r="G158" s="138">
        <f>IFERROR(__xludf.DUMMYFUNCTION("IFERROR(INDEX(FILTER('Vân tay'!$A$5:$O330,'Vân tay'!$C$5:$C330=F158,'Vân tay'!$B$5:$B330=D158),1,10),"""")"),0.5458333333333333)</f>
        <v>0.5458333333</v>
      </c>
      <c r="H158" s="138" t="str">
        <f>IFERROR(__xludf.DUMMYFUNCTION("IFERROR(INDEX(FILTER('Vân tay'!$A$5:$O330,'Vân tay'!$C$5:$C330=F158,'Vân tay'!$B$5:$B330=D158),1,11),"""")"),"")</f>
        <v/>
      </c>
      <c r="I158" s="138">
        <f>IFERROR(__xludf.DUMMYFUNCTION("IFERROR(INDEX(FILTER('Vân tay'!$A$5:$O330,'Vân tay'!$C$5:$C330=F158,'Vân tay'!$B$5:$B330=D158),1,14),"""")"),0.5458333333333333)</f>
        <v>0.5458333333</v>
      </c>
      <c r="J158" s="138">
        <v>0.7083333333333334</v>
      </c>
      <c r="K158" s="139">
        <f t="shared" ref="K158:K165" si="151">if(B158="","",if(J158&lt;&gt;"",if(I158&lt;$L$1,if(J158&lt;$L$1,J158-I158,$L$1-I158),0),"")*24/8)</f>
        <v>0</v>
      </c>
      <c r="L158" s="139">
        <f t="shared" ref="L158:L165" si="152">if(I158="","",if(J158="","",if(J158&gt;$M$1,if(I158&lt;$M$1,J158-$M$1,J158-I158)*24/8,"")))</f>
        <v>0.4875</v>
      </c>
      <c r="M158" s="139">
        <f t="shared" ref="M158:M165" si="153">if(B158="","",if(J158="",0.5,if(E158="NL",1,(K158+L158))))</f>
        <v>0.4875</v>
      </c>
      <c r="N158" s="140"/>
      <c r="O158" s="140">
        <f t="shared" ref="O158:O165" si="154">if(B158&lt;&gt;"",if(OR(J158="",M158=""),1,0),"")</f>
        <v>0</v>
      </c>
      <c r="P158" s="140">
        <f t="shared" ref="P158:P165" si="155">if(Y158="làm thêm ngày thường",X158,if(Y158="làm thêm T7, CN",M158,0))</f>
        <v>0.4875</v>
      </c>
      <c r="Q158" s="140">
        <f>if(or(D158='Công T5'!$B$97,D158='Công T5'!$B$98,D158='Công T5'!$B$99,D158='Công T5'!$B$100,D158='Công T5'!$B$101),if(M158="CT",1,if(M158="C/2",0.5,M158)),0)</f>
        <v>0</v>
      </c>
      <c r="R158" s="140">
        <f t="shared" ref="R158:R165" si="156">if(and(or(WEEKDAY(D158,3)&lt;5,D158=$E$1,D158=$F$1,D158=$G$1),G158&lt;$Q$1,G158&lt;&gt;""),1,0)+if(and(or(WEEKDAY(D158,3)&lt;5,D158=$E$1,D158=$F$1,D158=$G$1),H158&gt;$R$1,H158&lt;&gt;""),1,0)</f>
        <v>0</v>
      </c>
      <c r="S158" s="141">
        <f t="shared" ref="S158:S165" si="157">if(and(WEEKDAY(D158,3)&gt;4,D158&lt;&gt;$E$1,D158&lt;&gt;$F$1,D158&lt;&gt;$G$1,G158&lt;$Q$1,G158&lt;&gt;""),1,0)+if(and(WEEKDAY(D158,3)&gt;4,D158&lt;&gt;$E$1,D158&lt;&gt;$F$1,D158&lt;&gt;$G$1,H158&gt;$R$1,H158&lt;&gt;""),1,0)</f>
        <v>0</v>
      </c>
      <c r="T158" s="140">
        <f t="shared" ref="T158:T165" si="158">if(and(E158="ĐT",H158&lt;&gt;"",H158&gt;$R$1),1,0)</f>
        <v>0</v>
      </c>
      <c r="U158" s="140"/>
      <c r="V158" s="140"/>
      <c r="W158" s="140">
        <f t="shared" ref="W158:W165" si="159">if(E158="LX",if(and(G158&lt;$S$1,H158&gt;$T$1,M158&lt;&gt;1,M158&lt;&gt;"CT"),1,""),"")+if(E158="LX",if(and(G158&lt;$U$1,H158&gt;$V$1),1,""),"")</f>
        <v>0</v>
      </c>
      <c r="X158" s="142">
        <f t="shared" ref="X158:X165" si="160">if(B158="","",(if($I$1-G158&gt;0,$I$1-G158,0)+if(H158-$N$1&gt;0,H158-$N$1,0))*24/8)</f>
        <v>0</v>
      </c>
      <c r="Y158" s="142" t="s">
        <v>232</v>
      </c>
    </row>
    <row r="159">
      <c r="A159" s="135">
        <v>150.0</v>
      </c>
      <c r="B159" s="135" t="s">
        <v>233</v>
      </c>
      <c r="C159" s="135" t="s">
        <v>82</v>
      </c>
      <c r="D159" s="136">
        <v>44696.0</v>
      </c>
      <c r="E159" s="135" t="str">
        <f>IFERROR(VLOOKUP(C159,'Công T5'!$C$7:$F$89,4,0),"")</f>
        <v>NV</v>
      </c>
      <c r="F159" s="137">
        <f>IFERROR(__xludf.DUMMYFUNCTION("INDEX(FILTER('Công T5'!$B$8:$C$89,'Công T5'!$C$8:$C$89=C159),1,1)"),10360.0)</f>
        <v>10360</v>
      </c>
      <c r="G159" s="138">
        <f>IFERROR(__xludf.DUMMYFUNCTION("IFERROR(INDEX(FILTER('Vân tay'!$A$5:$O330,'Vân tay'!$C$5:$C330=F159,'Vân tay'!$B$5:$B330=D159),1,10),"""")"),0.4270833333333333)</f>
        <v>0.4270833333</v>
      </c>
      <c r="H159" s="138">
        <f>IFERROR(__xludf.DUMMYFUNCTION("IFERROR(INDEX(FILTER('Vân tay'!$A$5:$O330,'Vân tay'!$C$5:$C330=F159,'Vân tay'!$B$5:$B330=D159),1,11),"""")"),0.7423611111111111)</f>
        <v>0.7423611111</v>
      </c>
      <c r="I159" s="138">
        <f>IFERROR(__xludf.DUMMYFUNCTION("IFERROR(INDEX(FILTER('Vân tay'!$A$5:$O330,'Vân tay'!$C$5:$C330=F159,'Vân tay'!$B$5:$B330=D159),1,14),"""")"),0.4270833333333333)</f>
        <v>0.4270833333</v>
      </c>
      <c r="J159" s="138">
        <f>IFERROR(__xludf.DUMMYFUNCTION("IFERROR(INDEX(FILTER('Vân tay'!$A$5:$O330,'Vân tay'!$C$5:$C330=F159,'Vân tay'!$B$5:$B330=D159),1,15),"""")"),0.7083333333333334)</f>
        <v>0.7083333333</v>
      </c>
      <c r="K159" s="139">
        <f t="shared" si="151"/>
        <v>0.21875</v>
      </c>
      <c r="L159" s="139">
        <f t="shared" si="152"/>
        <v>0.5</v>
      </c>
      <c r="M159" s="139">
        <f t="shared" si="153"/>
        <v>0.71875</v>
      </c>
      <c r="N159" s="140"/>
      <c r="O159" s="140">
        <f t="shared" si="154"/>
        <v>0</v>
      </c>
      <c r="P159" s="140">
        <f t="shared" si="155"/>
        <v>0.71875</v>
      </c>
      <c r="Q159" s="140">
        <f>if(or(D159='Công T5'!$B$97,D159='Công T5'!$B$98,D159='Công T5'!$B$99,D159='Công T5'!$B$100,D159='Công T5'!$B$101),if(M159="CT",1,if(M159="C/2",0.5,M159)),0)</f>
        <v>0</v>
      </c>
      <c r="R159" s="140">
        <f t="shared" si="156"/>
        <v>0</v>
      </c>
      <c r="S159" s="141">
        <f t="shared" si="157"/>
        <v>0</v>
      </c>
      <c r="T159" s="140">
        <f t="shared" si="158"/>
        <v>0</v>
      </c>
      <c r="U159" s="140"/>
      <c r="V159" s="140"/>
      <c r="W159" s="140">
        <f t="shared" si="159"/>
        <v>0</v>
      </c>
      <c r="X159" s="142">
        <f t="shared" si="160"/>
        <v>0.1020833333</v>
      </c>
      <c r="Y159" s="142" t="s">
        <v>232</v>
      </c>
    </row>
    <row r="160">
      <c r="A160" s="135">
        <v>151.0</v>
      </c>
      <c r="B160" s="135" t="s">
        <v>234</v>
      </c>
      <c r="C160" s="135" t="s">
        <v>82</v>
      </c>
      <c r="D160" s="136">
        <v>44697.0</v>
      </c>
      <c r="E160" s="135" t="str">
        <f>IFERROR(VLOOKUP(C160,'Công T5'!$C$7:$F$89,4,0),"")</f>
        <v>NV</v>
      </c>
      <c r="F160" s="137">
        <f>IFERROR(__xludf.DUMMYFUNCTION("INDEX(FILTER('Công T5'!$B$8:$C$89,'Công T5'!$C$8:$C$89=C160),1,1)"),10360.0)</f>
        <v>10360</v>
      </c>
      <c r="G160" s="138">
        <f>IFERROR(__xludf.DUMMYFUNCTION("IFERROR(INDEX(FILTER('Vân tay'!$A$5:$O330,'Vân tay'!$C$5:$C330=F160,'Vân tay'!$B$5:$B330=D160),1,10),"""")"),0.2791666666666667)</f>
        <v>0.2791666667</v>
      </c>
      <c r="H160" s="138">
        <f>IFERROR(__xludf.DUMMYFUNCTION("IFERROR(INDEX(FILTER('Vân tay'!$A$5:$O330,'Vân tay'!$C$5:$C330=F160,'Vân tay'!$B$5:$B330=D160),1,11),"""")"),0.9652777777777778)</f>
        <v>0.9652777778</v>
      </c>
      <c r="I160" s="138">
        <f>IFERROR(__xludf.DUMMYFUNCTION("IFERROR(INDEX(FILTER('Vân tay'!$A$5:$O330,'Vân tay'!$C$5:$C330=F160,'Vân tay'!$B$5:$B330=D160),1,14),"""")"),0.3333333333333333)</f>
        <v>0.3333333333</v>
      </c>
      <c r="J160" s="138">
        <f>IFERROR(__xludf.DUMMYFUNCTION("IFERROR(INDEX(FILTER('Vân tay'!$A$5:$O330,'Vân tay'!$C$5:$C330=F160,'Vân tay'!$B$5:$B330=D160),1,15),"""")"),0.7083333333333334)</f>
        <v>0.7083333333</v>
      </c>
      <c r="K160" s="139">
        <f t="shared" si="151"/>
        <v>0.5</v>
      </c>
      <c r="L160" s="139">
        <f t="shared" si="152"/>
        <v>0.5</v>
      </c>
      <c r="M160" s="139">
        <f t="shared" si="153"/>
        <v>1</v>
      </c>
      <c r="N160" s="140"/>
      <c r="O160" s="140">
        <f t="shared" si="154"/>
        <v>0</v>
      </c>
      <c r="P160" s="140">
        <f t="shared" si="155"/>
        <v>0</v>
      </c>
      <c r="Q160" s="140">
        <f>if(or(D160='Công T5'!$B$97,D160='Công T5'!$B$98,D160='Công T5'!$B$99,D160='Công T5'!$B$100,D160='Công T5'!$B$101),if(M160="CT",1,if(M160="C/2",0.5,M160)),0)</f>
        <v>0</v>
      </c>
      <c r="R160" s="140">
        <f t="shared" si="156"/>
        <v>1</v>
      </c>
      <c r="S160" s="141">
        <f t="shared" si="157"/>
        <v>0</v>
      </c>
      <c r="T160" s="140">
        <f t="shared" si="158"/>
        <v>0</v>
      </c>
      <c r="U160" s="140"/>
      <c r="V160" s="140"/>
      <c r="W160" s="140">
        <f t="shared" si="159"/>
        <v>0</v>
      </c>
      <c r="X160" s="142">
        <f t="shared" si="160"/>
        <v>0.9333333333</v>
      </c>
      <c r="Y160" s="143"/>
    </row>
    <row r="161">
      <c r="A161" s="135">
        <v>152.0</v>
      </c>
      <c r="B161" s="135" t="s">
        <v>234</v>
      </c>
      <c r="C161" s="135" t="s">
        <v>82</v>
      </c>
      <c r="D161" s="136">
        <v>44698.0</v>
      </c>
      <c r="E161" s="135" t="str">
        <f>IFERROR(VLOOKUP(C161,'Công T5'!$C$7:$F$89,4,0),"")</f>
        <v>NV</v>
      </c>
      <c r="F161" s="137">
        <f>IFERROR(__xludf.DUMMYFUNCTION("INDEX(FILTER('Công T5'!$B$8:$C$89,'Công T5'!$C$8:$C$89=C161),1,1)"),10360.0)</f>
        <v>10360</v>
      </c>
      <c r="G161" s="138">
        <f>IFERROR(__xludf.DUMMYFUNCTION("IFERROR(INDEX(FILTER('Vân tay'!$A$5:$O330,'Vân tay'!$C$5:$C330=F161,'Vân tay'!$B$5:$B330=D161),1,10),"""")"),0.26944444444444443)</f>
        <v>0.2694444444</v>
      </c>
      <c r="H161" s="138">
        <f>IFERROR(__xludf.DUMMYFUNCTION("IFERROR(INDEX(FILTER('Vân tay'!$A$5:$O330,'Vân tay'!$C$5:$C330=F161,'Vân tay'!$B$5:$B330=D161),1,11),"""")"),0.7840277777777778)</f>
        <v>0.7840277778</v>
      </c>
      <c r="I161" s="138">
        <f>IFERROR(__xludf.DUMMYFUNCTION("IFERROR(INDEX(FILTER('Vân tay'!$A$5:$O330,'Vân tay'!$C$5:$C330=F161,'Vân tay'!$B$5:$B330=D161),1,14),"""")"),0.3333333333333333)</f>
        <v>0.3333333333</v>
      </c>
      <c r="J161" s="138">
        <f>IFERROR(__xludf.DUMMYFUNCTION("IFERROR(INDEX(FILTER('Vân tay'!$A$5:$O330,'Vân tay'!$C$5:$C330=F161,'Vân tay'!$B$5:$B330=D161),1,15),"""")"),0.7083333333333334)</f>
        <v>0.7083333333</v>
      </c>
      <c r="K161" s="139">
        <f t="shared" si="151"/>
        <v>0.5</v>
      </c>
      <c r="L161" s="139">
        <f t="shared" si="152"/>
        <v>0.5</v>
      </c>
      <c r="M161" s="139">
        <f t="shared" si="153"/>
        <v>1</v>
      </c>
      <c r="N161" s="140"/>
      <c r="O161" s="140">
        <f t="shared" si="154"/>
        <v>0</v>
      </c>
      <c r="P161" s="140">
        <f t="shared" si="155"/>
        <v>0</v>
      </c>
      <c r="Q161" s="140">
        <f>if(or(D161='Công T5'!$B$97,D161='Công T5'!$B$98,D161='Công T5'!$B$99,D161='Công T5'!$B$100,D161='Công T5'!$B$101),if(M161="CT",1,if(M161="C/2",0.5,M161)),0)</f>
        <v>0</v>
      </c>
      <c r="R161" s="140">
        <f t="shared" si="156"/>
        <v>0</v>
      </c>
      <c r="S161" s="141">
        <f t="shared" si="157"/>
        <v>0</v>
      </c>
      <c r="T161" s="140">
        <f t="shared" si="158"/>
        <v>0</v>
      </c>
      <c r="U161" s="140"/>
      <c r="V161" s="140"/>
      <c r="W161" s="140">
        <f t="shared" si="159"/>
        <v>0</v>
      </c>
      <c r="X161" s="142">
        <f t="shared" si="160"/>
        <v>0.41875</v>
      </c>
      <c r="Y161" s="143"/>
    </row>
    <row r="162">
      <c r="A162" s="135">
        <v>153.0</v>
      </c>
      <c r="B162" s="135" t="s">
        <v>235</v>
      </c>
      <c r="C162" s="135" t="s">
        <v>82</v>
      </c>
      <c r="D162" s="136">
        <v>44700.0</v>
      </c>
      <c r="E162" s="135" t="str">
        <f>IFERROR(VLOOKUP(C162,'Công T5'!$C$7:$F$89,4,0),"")</f>
        <v>NV</v>
      </c>
      <c r="F162" s="137">
        <f>IFERROR(__xludf.DUMMYFUNCTION("INDEX(FILTER('Công T5'!$B$8:$C$89,'Công T5'!$C$8:$C$89=C162),1,1)"),10360.0)</f>
        <v>10360</v>
      </c>
      <c r="G162" s="138">
        <v>0.25</v>
      </c>
      <c r="H162" s="138">
        <v>0.9125</v>
      </c>
      <c r="I162" s="138">
        <v>0.3333333333333333</v>
      </c>
      <c r="J162" s="138">
        <v>0.7083333333333334</v>
      </c>
      <c r="K162" s="139">
        <f t="shared" si="151"/>
        <v>0.5</v>
      </c>
      <c r="L162" s="139">
        <f t="shared" si="152"/>
        <v>0.5</v>
      </c>
      <c r="M162" s="139">
        <f t="shared" si="153"/>
        <v>1</v>
      </c>
      <c r="N162" s="140">
        <f>if(G162&lt;&gt;"",if(G162&gt;$I$1,1,0),"")</f>
        <v>0</v>
      </c>
      <c r="O162" s="140">
        <f t="shared" si="154"/>
        <v>0</v>
      </c>
      <c r="P162" s="140">
        <f t="shared" si="155"/>
        <v>0</v>
      </c>
      <c r="Q162" s="140">
        <f>if(or(D162='Công T5'!$B$97,D162='Công T5'!$B$98,D162='Công T5'!$B$99,D162='Công T5'!$B$100,D162='Công T5'!$B$101),if(M162="CT",1,if(M162="C/2",0.5,M162)),0)</f>
        <v>0</v>
      </c>
      <c r="R162" s="140">
        <f t="shared" si="156"/>
        <v>1</v>
      </c>
      <c r="S162" s="141">
        <f t="shared" si="157"/>
        <v>0</v>
      </c>
      <c r="T162" s="140">
        <f t="shared" si="158"/>
        <v>0</v>
      </c>
      <c r="U162" s="140"/>
      <c r="V162" s="140"/>
      <c r="W162" s="140">
        <f t="shared" si="159"/>
        <v>0</v>
      </c>
      <c r="X162" s="142">
        <f t="shared" si="160"/>
        <v>0.8625</v>
      </c>
      <c r="Y162" s="143"/>
    </row>
    <row r="163">
      <c r="A163" s="135">
        <v>154.0</v>
      </c>
      <c r="B163" s="135" t="s">
        <v>234</v>
      </c>
      <c r="C163" s="135" t="s">
        <v>82</v>
      </c>
      <c r="D163" s="136">
        <v>44701.0</v>
      </c>
      <c r="E163" s="135" t="str">
        <f>IFERROR(VLOOKUP(C163,'Công T5'!$C$7:$F$89,4,0),"")</f>
        <v>NV</v>
      </c>
      <c r="F163" s="137">
        <f>IFERROR(__xludf.DUMMYFUNCTION("INDEX(FILTER('Công T5'!$B$8:$C$89,'Công T5'!$C$8:$C$89=C163),1,1)"),10360.0)</f>
        <v>10360</v>
      </c>
      <c r="G163" s="138">
        <f>IFERROR(__xludf.DUMMYFUNCTION("IFERROR(INDEX(FILTER('Vân tay'!$A$5:$O330,'Vân tay'!$C$5:$C330=F163,'Vân tay'!$B$5:$B330=D163),1,10),"""")"),0.27152777777777776)</f>
        <v>0.2715277778</v>
      </c>
      <c r="H163" s="138">
        <f>IFERROR(__xludf.DUMMYFUNCTION("IFERROR(INDEX(FILTER('Vân tay'!$A$5:$O330,'Vân tay'!$C$5:$C330=F163,'Vân tay'!$B$5:$B330=D163),1,11),"""")"),0.9659722222222222)</f>
        <v>0.9659722222</v>
      </c>
      <c r="I163" s="138">
        <f>IFERROR(__xludf.DUMMYFUNCTION("IFERROR(INDEX(FILTER('Vân tay'!$A$5:$O330,'Vân tay'!$C$5:$C330=F163,'Vân tay'!$B$5:$B330=D163),1,14),"""")"),0.3333333333333333)</f>
        <v>0.3333333333</v>
      </c>
      <c r="J163" s="138">
        <f>IFERROR(__xludf.DUMMYFUNCTION("IFERROR(INDEX(FILTER('Vân tay'!$A$5:$O330,'Vân tay'!$C$5:$C330=F163,'Vân tay'!$B$5:$B330=D163),1,15),"""")"),0.7083333333333334)</f>
        <v>0.7083333333</v>
      </c>
      <c r="K163" s="139">
        <f t="shared" si="151"/>
        <v>0.5</v>
      </c>
      <c r="L163" s="139">
        <f t="shared" si="152"/>
        <v>0.5</v>
      </c>
      <c r="M163" s="139">
        <f t="shared" si="153"/>
        <v>1</v>
      </c>
      <c r="N163" s="140"/>
      <c r="O163" s="140">
        <f t="shared" si="154"/>
        <v>0</v>
      </c>
      <c r="P163" s="140">
        <f t="shared" si="155"/>
        <v>0</v>
      </c>
      <c r="Q163" s="140">
        <f>if(or(D163='Công T5'!$B$97,D163='Công T5'!$B$98,D163='Công T5'!$B$99,D163='Công T5'!$B$100,D163='Công T5'!$B$101),if(M163="CT",1,if(M163="C/2",0.5,M163)),0)</f>
        <v>0</v>
      </c>
      <c r="R163" s="140">
        <f t="shared" si="156"/>
        <v>1</v>
      </c>
      <c r="S163" s="141">
        <f t="shared" si="157"/>
        <v>0</v>
      </c>
      <c r="T163" s="140">
        <f t="shared" si="158"/>
        <v>0</v>
      </c>
      <c r="U163" s="140"/>
      <c r="V163" s="140"/>
      <c r="W163" s="140">
        <f t="shared" si="159"/>
        <v>0</v>
      </c>
      <c r="X163" s="142">
        <f t="shared" si="160"/>
        <v>0.9583333333</v>
      </c>
      <c r="Y163" s="143"/>
    </row>
    <row r="164">
      <c r="A164" s="135">
        <v>155.0</v>
      </c>
      <c r="B164" s="135" t="s">
        <v>236</v>
      </c>
      <c r="C164" s="135" t="s">
        <v>82</v>
      </c>
      <c r="D164" s="136">
        <v>44703.0</v>
      </c>
      <c r="E164" s="135" t="str">
        <f>IFERROR(VLOOKUP(C164,'Công T5'!$C$7:$F$89,4,0),"")</f>
        <v>NV</v>
      </c>
      <c r="F164" s="137">
        <f>IFERROR(__xludf.DUMMYFUNCTION("INDEX(FILTER('Công T5'!$B$8:$C$89,'Công T5'!$C$8:$C$89=C164),1,1)"),10360.0)</f>
        <v>10360</v>
      </c>
      <c r="G164" s="138">
        <f>IFERROR(__xludf.DUMMYFUNCTION("IFERROR(INDEX(FILTER('Vân tay'!$A$5:$O330,'Vân tay'!$C$5:$C330=F164,'Vân tay'!$B$5:$B330=D164),1,10),"""")"),0.33194444444444443)</f>
        <v>0.3319444444</v>
      </c>
      <c r="H164" s="138">
        <f>IFERROR(__xludf.DUMMYFUNCTION("IFERROR(INDEX(FILTER('Vân tay'!$A$5:$O330,'Vân tay'!$C$5:$C330=F164,'Vân tay'!$B$5:$B330=D164),1,11),"""")"),0.7201388888888889)</f>
        <v>0.7201388889</v>
      </c>
      <c r="I164" s="138">
        <f>IFERROR(__xludf.DUMMYFUNCTION("IFERROR(INDEX(FILTER('Vân tay'!$A$5:$O330,'Vân tay'!$C$5:$C330=F164,'Vân tay'!$B$5:$B330=D164),1,14),"""")"),0.3333333333333333)</f>
        <v>0.3333333333</v>
      </c>
      <c r="J164" s="138">
        <f>IFERROR(__xludf.DUMMYFUNCTION("IFERROR(INDEX(FILTER('Vân tay'!$A$5:$O330,'Vân tay'!$C$5:$C330=F164,'Vân tay'!$B$5:$B330=D164),1,15),"""")"),0.7083333333333334)</f>
        <v>0.7083333333</v>
      </c>
      <c r="K164" s="139">
        <f t="shared" si="151"/>
        <v>0.5</v>
      </c>
      <c r="L164" s="139">
        <f t="shared" si="152"/>
        <v>0.5</v>
      </c>
      <c r="M164" s="139">
        <f t="shared" si="153"/>
        <v>1</v>
      </c>
      <c r="N164" s="140"/>
      <c r="O164" s="140">
        <f t="shared" si="154"/>
        <v>0</v>
      </c>
      <c r="P164" s="140">
        <f t="shared" si="155"/>
        <v>1</v>
      </c>
      <c r="Q164" s="140">
        <f>if(or(D164='Công T5'!$B$97,D164='Công T5'!$B$98,D164='Công T5'!$B$99,D164='Công T5'!$B$100,D164='Công T5'!$B$101),if(M164="CT",1,if(M164="C/2",0.5,M164)),0)</f>
        <v>0</v>
      </c>
      <c r="R164" s="140">
        <f t="shared" si="156"/>
        <v>0</v>
      </c>
      <c r="S164" s="141">
        <f t="shared" si="157"/>
        <v>0</v>
      </c>
      <c r="T164" s="140">
        <f t="shared" si="158"/>
        <v>0</v>
      </c>
      <c r="U164" s="140"/>
      <c r="V164" s="140"/>
      <c r="W164" s="140">
        <f t="shared" si="159"/>
        <v>0</v>
      </c>
      <c r="X164" s="142">
        <f t="shared" si="160"/>
        <v>0.03958333333</v>
      </c>
      <c r="Y164" s="142" t="s">
        <v>232</v>
      </c>
    </row>
    <row r="165">
      <c r="A165" s="135">
        <v>156.0</v>
      </c>
      <c r="B165" s="135" t="s">
        <v>237</v>
      </c>
      <c r="C165" s="135" t="s">
        <v>82</v>
      </c>
      <c r="D165" s="136">
        <v>44705.0</v>
      </c>
      <c r="E165" s="135" t="str">
        <f>IFERROR(VLOOKUP(C165,'Công T5'!$C$7:$F$89,4,0),"")</f>
        <v>NV</v>
      </c>
      <c r="F165" s="137">
        <f>IFERROR(__xludf.DUMMYFUNCTION("INDEX(FILTER('Công T5'!$B$8:$C$89,'Công T5'!$C$8:$C$89=C165),1,1)"),10360.0)</f>
        <v>10360</v>
      </c>
      <c r="G165" s="138">
        <f>IFERROR(__xludf.DUMMYFUNCTION("IFERROR(INDEX(FILTER('Vân tay'!$A$5:$O330,'Vân tay'!$C$5:$C330=F165,'Vân tay'!$B$5:$B330=D165),1,10),"""")"),0.3236111111111111)</f>
        <v>0.3236111111</v>
      </c>
      <c r="H165" s="138">
        <f>IFERROR(__xludf.DUMMYFUNCTION("IFERROR(INDEX(FILTER('Vân tay'!$A$5:$O330,'Vân tay'!$C$5:$C330=F165,'Vân tay'!$B$5:$B330=D165),1,11),"""")"),0.9659722222222222)</f>
        <v>0.9659722222</v>
      </c>
      <c r="I165" s="138">
        <f>IFERROR(__xludf.DUMMYFUNCTION("IFERROR(INDEX(FILTER('Vân tay'!$A$5:$O330,'Vân tay'!$C$5:$C330=F165,'Vân tay'!$B$5:$B330=D165),1,14),"""")"),0.3333333333333333)</f>
        <v>0.3333333333</v>
      </c>
      <c r="J165" s="138">
        <f>IFERROR(__xludf.DUMMYFUNCTION("IFERROR(INDEX(FILTER('Vân tay'!$A$5:$O330,'Vân tay'!$C$5:$C330=F165,'Vân tay'!$B$5:$B330=D165),1,15),"""")"),0.7083333333333334)</f>
        <v>0.7083333333</v>
      </c>
      <c r="K165" s="139">
        <f t="shared" si="151"/>
        <v>0.5</v>
      </c>
      <c r="L165" s="139">
        <f t="shared" si="152"/>
        <v>0.5</v>
      </c>
      <c r="M165" s="139">
        <f t="shared" si="153"/>
        <v>1</v>
      </c>
      <c r="N165" s="140"/>
      <c r="O165" s="140">
        <f t="shared" si="154"/>
        <v>0</v>
      </c>
      <c r="P165" s="140">
        <f t="shared" si="155"/>
        <v>0</v>
      </c>
      <c r="Q165" s="140">
        <f>if(or(D165='Công T5'!$B$97,D165='Công T5'!$B$98,D165='Công T5'!$B$99,D165='Công T5'!$B$100,D165='Công T5'!$B$101),if(M165="CT",1,if(M165="C/2",0.5,M165)),0)</f>
        <v>0</v>
      </c>
      <c r="R165" s="140">
        <f t="shared" si="156"/>
        <v>1</v>
      </c>
      <c r="S165" s="141">
        <f t="shared" si="157"/>
        <v>0</v>
      </c>
      <c r="T165" s="140">
        <f t="shared" si="158"/>
        <v>0</v>
      </c>
      <c r="U165" s="140"/>
      <c r="V165" s="140"/>
      <c r="W165" s="140">
        <f t="shared" si="159"/>
        <v>0</v>
      </c>
      <c r="X165" s="142">
        <f t="shared" si="160"/>
        <v>0.8020833333</v>
      </c>
      <c r="Y165" s="143"/>
    </row>
    <row r="166">
      <c r="A166" s="135">
        <v>157.0</v>
      </c>
      <c r="B166" s="135" t="s">
        <v>187</v>
      </c>
      <c r="C166" s="135" t="s">
        <v>74</v>
      </c>
      <c r="D166" s="136">
        <v>44681.0</v>
      </c>
      <c r="E166" s="135" t="str">
        <f>IFERROR(VLOOKUP(C166,'Công T5'!$C$7:$F$89,4,0),"")</f>
        <v>NV</v>
      </c>
      <c r="F166" s="137">
        <f>IFERROR(__xludf.DUMMYFUNCTION("INDEX(FILTER('Công T5'!$B$8:$C$89,'Công T5'!$C$8:$C$89=C166),1,1)"),10085.0)</f>
        <v>10085</v>
      </c>
      <c r="G166" s="138"/>
      <c r="H166" s="138"/>
      <c r="I166" s="138"/>
      <c r="J166" s="138"/>
      <c r="K166" s="139"/>
      <c r="L166" s="139"/>
      <c r="M166" s="139" t="s">
        <v>43</v>
      </c>
      <c r="N166" s="140"/>
      <c r="O166" s="140"/>
      <c r="P166" s="140"/>
      <c r="Q166" s="140"/>
      <c r="R166" s="140"/>
      <c r="S166" s="141"/>
      <c r="T166" s="140"/>
      <c r="U166" s="140"/>
      <c r="V166" s="140"/>
      <c r="W166" s="140"/>
      <c r="X166" s="142"/>
      <c r="Y166" s="143"/>
    </row>
    <row r="167">
      <c r="A167" s="135">
        <v>158.0</v>
      </c>
      <c r="B167" s="135" t="s">
        <v>187</v>
      </c>
      <c r="C167" s="135" t="s">
        <v>74</v>
      </c>
      <c r="D167" s="136">
        <v>44682.0</v>
      </c>
      <c r="E167" s="135" t="str">
        <f>IFERROR(VLOOKUP(C167,'Công T5'!$C$7:$F$89,4,0),"")</f>
        <v>NV</v>
      </c>
      <c r="F167" s="137">
        <f>IFERROR(__xludf.DUMMYFUNCTION("INDEX(FILTER('Công T5'!$B$8:$C$89,'Công T5'!$C$8:$C$89=C167),1,1)"),10085.0)</f>
        <v>10085</v>
      </c>
      <c r="G167" s="138"/>
      <c r="H167" s="138"/>
      <c r="I167" s="138"/>
      <c r="J167" s="138"/>
      <c r="K167" s="139"/>
      <c r="L167" s="139"/>
      <c r="M167" s="139" t="s">
        <v>43</v>
      </c>
      <c r="N167" s="140"/>
      <c r="O167" s="140"/>
      <c r="P167" s="140"/>
      <c r="Q167" s="140"/>
      <c r="R167" s="140"/>
      <c r="S167" s="141"/>
      <c r="T167" s="140"/>
      <c r="U167" s="140"/>
      <c r="V167" s="140"/>
      <c r="W167" s="140"/>
      <c r="X167" s="142"/>
      <c r="Y167" s="143"/>
    </row>
    <row r="168">
      <c r="A168" s="135">
        <v>159.0</v>
      </c>
      <c r="B168" s="135" t="s">
        <v>238</v>
      </c>
      <c r="C168" s="135" t="s">
        <v>239</v>
      </c>
      <c r="D168" s="136">
        <v>44706.0</v>
      </c>
      <c r="E168" s="135" t="str">
        <f>IFERROR(VLOOKUP(C168,'Công T5'!$C$7:$F$89,4,0),"")</f>
        <v>NV</v>
      </c>
      <c r="F168" s="137">
        <f>IFERROR(__xludf.DUMMYFUNCTION("INDEX(FILTER('Công T5'!$B$8:$C$89,'Công T5'!$C$8:$C$89=C168),1,1)"),10085.0)</f>
        <v>10085</v>
      </c>
      <c r="G168" s="138" t="str">
        <f>IFERROR(__xludf.DUMMYFUNCTION("IFERROR(INDEX(FILTER('Vân tay'!$A$5:$O330,'Vân tay'!$C$5:$C330=F168,'Vân tay'!$B$5:$B330=D168),1,10),"""")"),"")</f>
        <v/>
      </c>
      <c r="H168" s="138" t="str">
        <f>IFERROR(__xludf.DUMMYFUNCTION("IFERROR(INDEX(FILTER('Vân tay'!$A$5:$O330,'Vân tay'!$C$5:$C330=F168,'Vân tay'!$B$5:$B330=D168),1,11),"""")"),"")</f>
        <v/>
      </c>
      <c r="I168" s="138" t="str">
        <f>IFERROR(__xludf.DUMMYFUNCTION("IFERROR(INDEX(FILTER('Vân tay'!$A$5:$O330,'Vân tay'!$C$5:$C330=F168,'Vân tay'!$B$5:$B330=D168),1,14),"""")"),"")</f>
        <v/>
      </c>
      <c r="J168" s="138" t="str">
        <f>IFERROR(__xludf.DUMMYFUNCTION("IFERROR(INDEX(FILTER('Vân tay'!$A$5:$O330,'Vân tay'!$C$5:$C330=F168,'Vân tay'!$B$5:$B330=D168),1,15),"""")"),"")</f>
        <v/>
      </c>
      <c r="K168" s="139">
        <f t="shared" ref="K168:K169" si="161">if(B168="","",if(J168&lt;&gt;"",if(I168&lt;$L$1,if(J168&lt;$L$1,J168-I168,$L$1-I168),0),"")*24/8)</f>
        <v>0</v>
      </c>
      <c r="L168" s="139" t="str">
        <f t="shared" ref="L168:L169" si="162">if(I168="","",if(J168="","",if(J168&gt;$M$1,if(I168&lt;$M$1,J168-$M$1,J168-I168)*24/8,"")))</f>
        <v/>
      </c>
      <c r="M168" s="139" t="s">
        <v>76</v>
      </c>
      <c r="N168" s="140" t="str">
        <f>if(G168&lt;&gt;"",if(G168&gt;$I$1,1,0),"")</f>
        <v/>
      </c>
      <c r="O168" s="140"/>
      <c r="P168" s="140">
        <f t="shared" ref="P168:P169" si="163">if(Y168="làm thêm ngày thường",X168,if(Y168="làm thêm T7, CN",M168,0))</f>
        <v>0</v>
      </c>
      <c r="Q168" s="140">
        <f>if(or(D168='Công T5'!$B$97,D168='Công T5'!$B$98,D168='Công T5'!$B$99,D168='Công T5'!$B$100,D168='Công T5'!$B$101),if(M168="CT",1,if(M168="C/2",0.5,M168)),0)</f>
        <v>0</v>
      </c>
      <c r="R168" s="140">
        <f t="shared" ref="R168:R169" si="164">if(and(or(WEEKDAY(D168,3)&lt;5,D168=$E$1,D168=$F$1,D168=$G$1),G168&lt;$Q$1,G168&lt;&gt;""),1,0)+if(and(or(WEEKDAY(D168,3)&lt;5,D168=$E$1,D168=$F$1,D168=$G$1),H168&gt;$R$1,H168&lt;&gt;""),1,0)</f>
        <v>0</v>
      </c>
      <c r="S168" s="141">
        <f t="shared" ref="S168:S169" si="165">if(and(WEEKDAY(D168,3)&gt;4,D168&lt;&gt;$E$1,D168&lt;&gt;$F$1,D168&lt;&gt;$G$1,G168&lt;$Q$1,G168&lt;&gt;""),1,0)+if(and(WEEKDAY(D168,3)&gt;4,D168&lt;&gt;$E$1,D168&lt;&gt;$F$1,D168&lt;&gt;$G$1,H168&gt;$R$1,H168&lt;&gt;""),1,0)</f>
        <v>0</v>
      </c>
      <c r="T168" s="140">
        <f t="shared" ref="T168:T169" si="166">if(and(E168="ĐT",H168&lt;&gt;"",H168&gt;$R$1),1,0)</f>
        <v>0</v>
      </c>
      <c r="U168" s="140"/>
      <c r="V168" s="140"/>
      <c r="W168" s="140">
        <f t="shared" ref="W168:W169" si="167">if(E168="LX",if(and(G168&lt;$S$1,H168&gt;$T$1,M168&lt;&gt;1,M168&lt;&gt;"CT"),1,""),"")+if(E168="LX",if(and(G168&lt;$U$1,H168&gt;$V$1),1,""),"")</f>
        <v>0</v>
      </c>
      <c r="X168" s="142">
        <f t="shared" ref="X168:X169" si="168">if(B168="","",(if($I$1-G168&gt;0,$I$1-G168,0)+if(H168-$N$1&gt;0,H168-$N$1,0))*24/8)</f>
        <v>1</v>
      </c>
      <c r="Y168" s="143"/>
    </row>
    <row r="169">
      <c r="A169" s="135">
        <v>160.0</v>
      </c>
      <c r="B169" s="135" t="s">
        <v>240</v>
      </c>
      <c r="C169" s="135" t="s">
        <v>77</v>
      </c>
      <c r="D169" s="136">
        <v>44679.0</v>
      </c>
      <c r="E169" s="135" t="str">
        <f>IFERROR(VLOOKUP(C169,'Công T5'!$C$7:$F$89,4,0),"")</f>
        <v>NV</v>
      </c>
      <c r="F169" s="137">
        <f>IFERROR(__xludf.DUMMYFUNCTION("INDEX(FILTER('Công T5'!$B$8:$C$89,'Công T5'!$C$8:$C$89=C169),1,1)"),10006.0)</f>
        <v>10006</v>
      </c>
      <c r="G169" s="138">
        <f>IFERROR(__xludf.DUMMYFUNCTION("IFERROR(INDEX(FILTER('Vân tay'!$A$5:$O330,'Vân tay'!$C$5:$C330=F169,'Vân tay'!$B$5:$B330=D169),1,10),"""")"),0.61875)</f>
        <v>0.61875</v>
      </c>
      <c r="H169" s="138">
        <f>IFERROR(__xludf.DUMMYFUNCTION("IFERROR(INDEX(FILTER('Vân tay'!$A$5:$O330,'Vân tay'!$C$5:$C330=F169,'Vân tay'!$B$5:$B330=D169),1,11),"""")"),0.7368055555555556)</f>
        <v>0.7368055556</v>
      </c>
      <c r="I169" s="138">
        <v>0.3333333333333333</v>
      </c>
      <c r="J169" s="138">
        <f>IFERROR(__xludf.DUMMYFUNCTION("IFERROR(INDEX(FILTER('Vân tay'!$A$5:$O330,'Vân tay'!$C$5:$C330=F169,'Vân tay'!$B$5:$B330=D169),1,15),"""")"),0.7083333333333334)</f>
        <v>0.7083333333</v>
      </c>
      <c r="K169" s="139">
        <f t="shared" si="161"/>
        <v>0.5</v>
      </c>
      <c r="L169" s="139">
        <f t="shared" si="162"/>
        <v>0.5</v>
      </c>
      <c r="M169" s="139">
        <f>if(B169="","",if(J169="",0.5,if(E169="NL",1,(K169+L169))))</f>
        <v>1</v>
      </c>
      <c r="N169" s="140"/>
      <c r="O169" s="140">
        <f>if(B169&lt;&gt;"",if(OR(J169="",M169=""),1,0),"")</f>
        <v>0</v>
      </c>
      <c r="P169" s="140">
        <f t="shared" si="163"/>
        <v>0</v>
      </c>
      <c r="Q169" s="140">
        <f>if(or(D169='Công T5'!$B$97,D169='Công T5'!$B$98,D169='Công T5'!$B$99,D169='Công T5'!$B$100,D169='Công T5'!$B$101),if(M169="CT",1,if(M169="C/2",0.5,M169)),0)</f>
        <v>0</v>
      </c>
      <c r="R169" s="140">
        <f t="shared" si="164"/>
        <v>0</v>
      </c>
      <c r="S169" s="141">
        <f t="shared" si="165"/>
        <v>0</v>
      </c>
      <c r="T169" s="140">
        <f t="shared" si="166"/>
        <v>0</v>
      </c>
      <c r="U169" s="140"/>
      <c r="V169" s="140"/>
      <c r="W169" s="140">
        <f t="shared" si="167"/>
        <v>0</v>
      </c>
      <c r="X169" s="142">
        <f t="shared" si="168"/>
        <v>0.08541666667</v>
      </c>
      <c r="Y169" s="143"/>
    </row>
    <row r="170">
      <c r="A170" s="135">
        <v>161.0</v>
      </c>
      <c r="B170" s="135" t="s">
        <v>187</v>
      </c>
      <c r="C170" s="135" t="s">
        <v>77</v>
      </c>
      <c r="D170" s="136">
        <v>44681.0</v>
      </c>
      <c r="E170" s="135" t="str">
        <f>IFERROR(VLOOKUP(C170,'Công T5'!$C$7:$F$89,4,0),"")</f>
        <v>NV</v>
      </c>
      <c r="F170" s="137">
        <f>IFERROR(__xludf.DUMMYFUNCTION("INDEX(FILTER('Công T5'!$B$8:$C$89,'Công T5'!$C$8:$C$89=C170),1,1)"),10006.0)</f>
        <v>10006</v>
      </c>
      <c r="G170" s="138"/>
      <c r="H170" s="138"/>
      <c r="I170" s="138"/>
      <c r="J170" s="138"/>
      <c r="K170" s="139"/>
      <c r="L170" s="139"/>
      <c r="M170" s="139" t="s">
        <v>43</v>
      </c>
      <c r="N170" s="140"/>
      <c r="O170" s="140"/>
      <c r="P170" s="140"/>
      <c r="Q170" s="140"/>
      <c r="R170" s="140"/>
      <c r="S170" s="141"/>
      <c r="T170" s="140"/>
      <c r="U170" s="140"/>
      <c r="V170" s="140"/>
      <c r="W170" s="140"/>
      <c r="X170" s="142"/>
      <c r="Y170" s="143"/>
    </row>
    <row r="171">
      <c r="A171" s="135">
        <v>162.0</v>
      </c>
      <c r="B171" s="135" t="s">
        <v>187</v>
      </c>
      <c r="C171" s="135" t="s">
        <v>77</v>
      </c>
      <c r="D171" s="136">
        <v>44682.0</v>
      </c>
      <c r="E171" s="135" t="str">
        <f>IFERROR(VLOOKUP(C171,'Công T5'!$C$7:$F$89,4,0),"")</f>
        <v>NV</v>
      </c>
      <c r="F171" s="137">
        <f>IFERROR(__xludf.DUMMYFUNCTION("INDEX(FILTER('Công T5'!$B$8:$C$89,'Công T5'!$C$8:$C$89=C171),1,1)"),10006.0)</f>
        <v>10006</v>
      </c>
      <c r="G171" s="138"/>
      <c r="H171" s="138"/>
      <c r="I171" s="138"/>
      <c r="J171" s="138"/>
      <c r="K171" s="139"/>
      <c r="L171" s="139"/>
      <c r="M171" s="139" t="s">
        <v>43</v>
      </c>
      <c r="N171" s="140"/>
      <c r="O171" s="140"/>
      <c r="P171" s="140"/>
      <c r="Q171" s="140"/>
      <c r="R171" s="140"/>
      <c r="S171" s="141"/>
      <c r="T171" s="140"/>
      <c r="U171" s="140"/>
      <c r="V171" s="140"/>
      <c r="W171" s="140"/>
      <c r="X171" s="142"/>
      <c r="Y171" s="143"/>
    </row>
    <row r="172">
      <c r="A172" s="135">
        <v>163.0</v>
      </c>
      <c r="B172" s="135" t="s">
        <v>241</v>
      </c>
      <c r="C172" s="135" t="s">
        <v>77</v>
      </c>
      <c r="D172" s="136">
        <v>44690.0</v>
      </c>
      <c r="E172" s="135" t="str">
        <f>IFERROR(VLOOKUP(C172,'Công T5'!$C$7:$F$89,4,0),"")</f>
        <v>NV</v>
      </c>
      <c r="F172" s="137">
        <f>IFERROR(__xludf.DUMMYFUNCTION("INDEX(FILTER('Công T5'!$B$8:$C$89,'Công T5'!$C$8:$C$89=C172),1,1)"),10006.0)</f>
        <v>10006</v>
      </c>
      <c r="G172" s="138">
        <f>IFERROR(__xludf.DUMMYFUNCTION("IFERROR(INDEX(FILTER('Vân tay'!$A$5:$O330,'Vân tay'!$C$5:$C330=F172,'Vân tay'!$B$5:$B330=D172),1,10),"""")"),0.32013888888888886)</f>
        <v>0.3201388889</v>
      </c>
      <c r="H172" s="138">
        <f>IFERROR(__xludf.DUMMYFUNCTION("IFERROR(INDEX(FILTER('Vân tay'!$A$5:$O330,'Vân tay'!$C$5:$C330=F172,'Vân tay'!$B$5:$B330=D172),1,11),"""")"),0.6576388888888889)</f>
        <v>0.6576388889</v>
      </c>
      <c r="I172" s="138">
        <f>IFERROR(__xludf.DUMMYFUNCTION("IFERROR(INDEX(FILTER('Vân tay'!$A$5:$O330,'Vân tay'!$C$5:$C330=F172,'Vân tay'!$B$5:$B330=D172),1,14),"""")"),0.3333333333333333)</f>
        <v>0.3333333333</v>
      </c>
      <c r="J172" s="138">
        <v>0.7083333333333334</v>
      </c>
      <c r="K172" s="139">
        <f t="shared" ref="K172:K175" si="169">if(B172="","",if(J172&lt;&gt;"",if(I172&lt;$L$1,if(J172&lt;$L$1,J172-I172,$L$1-I172),0),"")*24/8)</f>
        <v>0.5</v>
      </c>
      <c r="L172" s="139">
        <f t="shared" ref="L172:L175" si="170">if(I172="","",if(J172="","",if(J172&gt;$M$1,if(I172&lt;$M$1,J172-$M$1,J172-I172)*24/8,"")))</f>
        <v>0.5</v>
      </c>
      <c r="M172" s="139">
        <f t="shared" ref="M172:M175" si="171">if(B172="","",if(J172="",0.5,if(E172="NL",1,(K172+L172))))</f>
        <v>1</v>
      </c>
      <c r="N172" s="140">
        <f t="shared" ref="N172:N173" si="172">if(G172&lt;&gt;"",if(G172&gt;$I$1,1,0),"")</f>
        <v>0</v>
      </c>
      <c r="O172" s="140">
        <f t="shared" ref="O172:O175" si="173">if(B172&lt;&gt;"",if(OR(J172="",M172=""),1,0),"")</f>
        <v>0</v>
      </c>
      <c r="P172" s="140">
        <f t="shared" ref="P172:P175" si="174">if(Y172="làm thêm ngày thường",X172,if(Y172="làm thêm T7, CN",M172,0))</f>
        <v>0</v>
      </c>
      <c r="Q172" s="140">
        <f>if(or(D172='Công T5'!$B$97,D172='Công T5'!$B$98,D172='Công T5'!$B$99,D172='Công T5'!$B$100,D172='Công T5'!$B$101),if(M172="CT",1,if(M172="C/2",0.5,M172)),0)</f>
        <v>0</v>
      </c>
      <c r="R172" s="140">
        <f>if(and(or(WEEKDAY(D172,3)&lt;5,D172=$E$1,D172=$F$1,D172=$G$1),G172&lt;$Q$1,G172&lt;&gt;""),1,0)+if(and(or(WEEKDAY(D172,3)&lt;5,D172=$E$1,D172=$F$1,D172=$G$1),H172&gt;$R$1,H172&lt;&gt;""),1,0)</f>
        <v>0</v>
      </c>
      <c r="S172" s="141">
        <f t="shared" ref="S172:S175" si="175">if(and(WEEKDAY(D172,3)&gt;4,D172&lt;&gt;$E$1,D172&lt;&gt;$F$1,D172&lt;&gt;$G$1,G172&lt;$Q$1,G172&lt;&gt;""),1,0)+if(and(WEEKDAY(D172,3)&gt;4,D172&lt;&gt;$E$1,D172&lt;&gt;$F$1,D172&lt;&gt;$G$1,H172&gt;$R$1,H172&lt;&gt;""),1,0)</f>
        <v>0</v>
      </c>
      <c r="T172" s="140">
        <f t="shared" ref="T172:T175" si="176">if(and(E172="ĐT",H172&lt;&gt;"",H172&gt;$R$1),1,0)</f>
        <v>0</v>
      </c>
      <c r="U172" s="140"/>
      <c r="V172" s="140"/>
      <c r="W172" s="140">
        <f t="shared" ref="W172:W175" si="177">if(E172="LX",if(and(G172&lt;$S$1,H172&gt;$T$1,M172&lt;&gt;1,M172&lt;&gt;"CT"),1,""),"")+if(E172="LX",if(and(G172&lt;$U$1,H172&gt;$V$1),1,""),"")</f>
        <v>0</v>
      </c>
      <c r="X172" s="142">
        <f t="shared" ref="X172:X175" si="178">if(B172="","",(if($I$1-G172&gt;0,$I$1-G172,0)+if(H172-$N$1&gt;0,H172-$N$1,0))*24/8)</f>
        <v>0.03958333333</v>
      </c>
      <c r="Y172" s="143"/>
    </row>
    <row r="173">
      <c r="A173" s="135">
        <v>164.0</v>
      </c>
      <c r="B173" s="135" t="s">
        <v>242</v>
      </c>
      <c r="C173" s="135" t="s">
        <v>83</v>
      </c>
      <c r="D173" s="136">
        <v>44678.0</v>
      </c>
      <c r="E173" s="135" t="str">
        <f>IFERROR(VLOOKUP(C173,'Công T5'!$C$7:$F$89,4,0),"")</f>
        <v>NV</v>
      </c>
      <c r="F173" s="137">
        <f>IFERROR(__xludf.DUMMYFUNCTION("INDEX(FILTER('Công T5'!$B$8:$C$89,'Công T5'!$C$8:$C$89=C173),1,1)"),10403.0)</f>
        <v>10403</v>
      </c>
      <c r="G173" s="138">
        <f>IFERROR(__xludf.DUMMYFUNCTION("IFERROR(INDEX(FILTER('Vân tay'!$A$5:$O330,'Vân tay'!$C$5:$C330=F173,'Vân tay'!$B$5:$B330=D173),1,10),"""")"),0.33125)</f>
        <v>0.33125</v>
      </c>
      <c r="H173" s="138">
        <f>IFERROR(__xludf.DUMMYFUNCTION("IFERROR(INDEX(FILTER('Vân tay'!$A$5:$O330,'Vân tay'!$C$5:$C330=F173,'Vân tay'!$B$5:$B330=D173),1,11),"""")"),0.7243055555555555)</f>
        <v>0.7243055556</v>
      </c>
      <c r="I173" s="138">
        <f>IFERROR(__xludf.DUMMYFUNCTION("IFERROR(INDEX(FILTER('Vân tay'!$A$5:$O330,'Vân tay'!$C$5:$C330=F173,'Vân tay'!$B$5:$B330=D173),1,14),"""")"),0.3333333333333333)</f>
        <v>0.3333333333</v>
      </c>
      <c r="J173" s="138">
        <f>IFERROR(__xludf.DUMMYFUNCTION("IFERROR(INDEX(FILTER('Vân tay'!$A$5:$O330,'Vân tay'!$C$5:$C330=F173,'Vân tay'!$B$5:$B330=D173),1,15),"""")"),0.7083333333333334)</f>
        <v>0.7083333333</v>
      </c>
      <c r="K173" s="139">
        <f t="shared" si="169"/>
        <v>0.5</v>
      </c>
      <c r="L173" s="139">
        <f t="shared" si="170"/>
        <v>0.5</v>
      </c>
      <c r="M173" s="139">
        <f t="shared" si="171"/>
        <v>1</v>
      </c>
      <c r="N173" s="140">
        <f t="shared" si="172"/>
        <v>0</v>
      </c>
      <c r="O173" s="140">
        <f t="shared" si="173"/>
        <v>0</v>
      </c>
      <c r="P173" s="140">
        <f t="shared" si="174"/>
        <v>0</v>
      </c>
      <c r="Q173" s="140">
        <f>if(or(D173='Công T5'!$B$97,D173='Công T5'!$B$98,D173='Công T5'!$B$99,D173='Công T5'!$B$100,D173='Công T5'!$B$101),if(M173="CT",1,if(M173="C/2",0.5,M173)),0)</f>
        <v>0</v>
      </c>
      <c r="R173" s="139">
        <v>1.0</v>
      </c>
      <c r="S173" s="141">
        <f t="shared" si="175"/>
        <v>0</v>
      </c>
      <c r="T173" s="140">
        <f t="shared" si="176"/>
        <v>0</v>
      </c>
      <c r="U173" s="140"/>
      <c r="V173" s="140"/>
      <c r="W173" s="140">
        <f t="shared" si="177"/>
        <v>0</v>
      </c>
      <c r="X173" s="142">
        <f t="shared" si="178"/>
        <v>0.05416666667</v>
      </c>
      <c r="Y173" s="143"/>
    </row>
    <row r="174">
      <c r="A174" s="135">
        <v>165.0</v>
      </c>
      <c r="B174" s="135" t="s">
        <v>243</v>
      </c>
      <c r="C174" s="135" t="s">
        <v>83</v>
      </c>
      <c r="D174" s="136">
        <v>44679.0</v>
      </c>
      <c r="E174" s="135" t="str">
        <f>IFERROR(VLOOKUP(C174,'Công T5'!$C$7:$F$89,4,0),"")</f>
        <v>NV</v>
      </c>
      <c r="F174" s="137">
        <f>IFERROR(__xludf.DUMMYFUNCTION("INDEX(FILTER('Công T5'!$B$8:$C$89,'Công T5'!$C$8:$C$89=C174),1,1)"),10403.0)</f>
        <v>10403</v>
      </c>
      <c r="G174" s="138">
        <f>IFERROR(__xludf.DUMMYFUNCTION("IFERROR(INDEX(FILTER('Vân tay'!$A$5:$O330,'Vân tay'!$C$5:$C330=F174,'Vân tay'!$B$5:$B330=D174),1,10),"""")"),0.3819444444444444)</f>
        <v>0.3819444444</v>
      </c>
      <c r="H174" s="138">
        <f>IFERROR(__xludf.DUMMYFUNCTION("IFERROR(INDEX(FILTER('Vân tay'!$A$5:$O330,'Vân tay'!$C$5:$C330=F174,'Vân tay'!$B$5:$B330=D174),1,11),"""")"),0.7395833333333334)</f>
        <v>0.7395833333</v>
      </c>
      <c r="I174" s="138">
        <v>0.3333333333333333</v>
      </c>
      <c r="J174" s="138">
        <f>IFERROR(__xludf.DUMMYFUNCTION("IFERROR(INDEX(FILTER('Vân tay'!$A$5:$O330,'Vân tay'!$C$5:$C330=F174,'Vân tay'!$B$5:$B330=D174),1,15),"""")"),0.7083333333333334)</f>
        <v>0.7083333333</v>
      </c>
      <c r="K174" s="139">
        <f t="shared" si="169"/>
        <v>0.5</v>
      </c>
      <c r="L174" s="139">
        <f t="shared" si="170"/>
        <v>0.5</v>
      </c>
      <c r="M174" s="139">
        <f t="shared" si="171"/>
        <v>1</v>
      </c>
      <c r="N174" s="140"/>
      <c r="O174" s="140">
        <f t="shared" si="173"/>
        <v>0</v>
      </c>
      <c r="P174" s="140">
        <f t="shared" si="174"/>
        <v>0</v>
      </c>
      <c r="Q174" s="140">
        <f>if(or(D174='Công T5'!$B$97,D174='Công T5'!$B$98,D174='Công T5'!$B$99,D174='Công T5'!$B$100,D174='Công T5'!$B$101),if(M174="CT",1,if(M174="C/2",0.5,M174)),0)</f>
        <v>0</v>
      </c>
      <c r="R174" s="139">
        <v>1.0</v>
      </c>
      <c r="S174" s="141">
        <f t="shared" si="175"/>
        <v>0</v>
      </c>
      <c r="T174" s="140">
        <f t="shared" si="176"/>
        <v>0</v>
      </c>
      <c r="U174" s="140"/>
      <c r="V174" s="140"/>
      <c r="W174" s="140">
        <f t="shared" si="177"/>
        <v>0</v>
      </c>
      <c r="X174" s="142">
        <f t="shared" si="178"/>
        <v>0.09375</v>
      </c>
      <c r="Y174" s="143"/>
    </row>
    <row r="175">
      <c r="A175" s="135">
        <v>166.0</v>
      </c>
      <c r="B175" s="135" t="s">
        <v>244</v>
      </c>
      <c r="C175" s="135" t="s">
        <v>83</v>
      </c>
      <c r="D175" s="136">
        <v>44680.0</v>
      </c>
      <c r="E175" s="135" t="str">
        <f>IFERROR(VLOOKUP(C175,'Công T5'!$C$7:$F$89,4,0),"")</f>
        <v>NV</v>
      </c>
      <c r="F175" s="137">
        <f>IFERROR(__xludf.DUMMYFUNCTION("INDEX(FILTER('Công T5'!$B$8:$C$89,'Công T5'!$C$8:$C$89=C175),1,1)"),10403.0)</f>
        <v>10403</v>
      </c>
      <c r="G175" s="138">
        <f>IFERROR(__xludf.DUMMYFUNCTION("IFERROR(INDEX(FILTER('Vân tay'!$A$5:$O330,'Vân tay'!$C$5:$C330=F175,'Vân tay'!$B$5:$B330=D175),1,10),"""")"),0.38819444444444445)</f>
        <v>0.3881944444</v>
      </c>
      <c r="H175" s="138">
        <f>IFERROR(__xludf.DUMMYFUNCTION("IFERROR(INDEX(FILTER('Vân tay'!$A$5:$O330,'Vân tay'!$C$5:$C330=F175,'Vân tay'!$B$5:$B330=D175),1,11),"""")"),0.7173611111111111)</f>
        <v>0.7173611111</v>
      </c>
      <c r="I175" s="138">
        <v>0.3333333333333333</v>
      </c>
      <c r="J175" s="138">
        <f>IFERROR(__xludf.DUMMYFUNCTION("IFERROR(INDEX(FILTER('Vân tay'!$A$5:$O330,'Vân tay'!$C$5:$C330=F175,'Vân tay'!$B$5:$B330=D175),1,15),"""")"),0.7083333333333334)</f>
        <v>0.7083333333</v>
      </c>
      <c r="K175" s="139">
        <f t="shared" si="169"/>
        <v>0.5</v>
      </c>
      <c r="L175" s="139">
        <f t="shared" si="170"/>
        <v>0.5</v>
      </c>
      <c r="M175" s="139">
        <f t="shared" si="171"/>
        <v>1</v>
      </c>
      <c r="N175" s="140"/>
      <c r="O175" s="140">
        <f t="shared" si="173"/>
        <v>0</v>
      </c>
      <c r="P175" s="140">
        <f t="shared" si="174"/>
        <v>0</v>
      </c>
      <c r="Q175" s="140">
        <f>if(or(D175='Công T5'!$B$97,D175='Công T5'!$B$98,D175='Công T5'!$B$99,D175='Công T5'!$B$100,D175='Công T5'!$B$101),if(M175="CT",1,if(M175="C/2",0.5,M175)),0)</f>
        <v>0</v>
      </c>
      <c r="R175" s="140">
        <f>if(and(or(WEEKDAY(D175,3)&lt;5,D175=$E$1,D175=$F$1,D175=$G$1),G175&lt;$Q$1,G175&lt;&gt;""),1,0)+if(and(or(WEEKDAY(D175,3)&lt;5,D175=$E$1,D175=$F$1,D175=$G$1),H175&gt;$R$1,H175&lt;&gt;""),1,0)</f>
        <v>0</v>
      </c>
      <c r="S175" s="141">
        <f t="shared" si="175"/>
        <v>0</v>
      </c>
      <c r="T175" s="140">
        <f t="shared" si="176"/>
        <v>0</v>
      </c>
      <c r="U175" s="140"/>
      <c r="V175" s="140"/>
      <c r="W175" s="140">
        <f t="shared" si="177"/>
        <v>0</v>
      </c>
      <c r="X175" s="142">
        <f t="shared" si="178"/>
        <v>0.02708333333</v>
      </c>
      <c r="Y175" s="143"/>
    </row>
    <row r="176">
      <c r="A176" s="135">
        <v>167.0</v>
      </c>
      <c r="B176" s="135" t="s">
        <v>187</v>
      </c>
      <c r="C176" s="135" t="s">
        <v>83</v>
      </c>
      <c r="D176" s="136">
        <v>44681.0</v>
      </c>
      <c r="E176" s="135" t="str">
        <f>IFERROR(VLOOKUP(C176,'Công T5'!$C$7:$F$89,4,0),"")</f>
        <v>NV</v>
      </c>
      <c r="F176" s="137">
        <f>IFERROR(__xludf.DUMMYFUNCTION("INDEX(FILTER('Công T5'!$B$8:$C$89,'Công T5'!$C$8:$C$89=C176),1,1)"),10403.0)</f>
        <v>10403</v>
      </c>
      <c r="G176" s="138"/>
      <c r="H176" s="138"/>
      <c r="I176" s="138"/>
      <c r="J176" s="138"/>
      <c r="K176" s="139"/>
      <c r="L176" s="139"/>
      <c r="M176" s="139" t="s">
        <v>43</v>
      </c>
      <c r="N176" s="140"/>
      <c r="O176" s="140"/>
      <c r="P176" s="140"/>
      <c r="Q176" s="140"/>
      <c r="R176" s="140"/>
      <c r="S176" s="141"/>
      <c r="T176" s="140"/>
      <c r="U176" s="140"/>
      <c r="V176" s="140"/>
      <c r="W176" s="140"/>
      <c r="X176" s="142"/>
      <c r="Y176" s="143"/>
    </row>
    <row r="177">
      <c r="A177" s="135">
        <v>168.0</v>
      </c>
      <c r="B177" s="135" t="s">
        <v>230</v>
      </c>
      <c r="C177" s="135" t="s">
        <v>83</v>
      </c>
      <c r="D177" s="136">
        <v>44682.0</v>
      </c>
      <c r="E177" s="135" t="str">
        <f>IFERROR(VLOOKUP(C177,'Công T5'!$C$7:$F$89,4,0),"")</f>
        <v>NV</v>
      </c>
      <c r="F177" s="137">
        <f>IFERROR(__xludf.DUMMYFUNCTION("INDEX(FILTER('Công T5'!$B$8:$C$89,'Công T5'!$C$8:$C$89=C177),1,1)"),10403.0)</f>
        <v>10403</v>
      </c>
      <c r="G177" s="138">
        <f>IFERROR(__xludf.DUMMYFUNCTION("IFERROR(INDEX(FILTER('Vân tay'!$A$5:$O330,'Vân tay'!$C$5:$C330=F177,'Vân tay'!$B$5:$B330=D177),1,10),"""")"),0.36944444444444446)</f>
        <v>0.3694444444</v>
      </c>
      <c r="H177" s="138">
        <f>IFERROR(__xludf.DUMMYFUNCTION("IFERROR(INDEX(FILTER('Vân tay'!$A$5:$O330,'Vân tay'!$C$5:$C330=F177,'Vân tay'!$B$5:$B330=D177),1,11),"""")"),0.7736111111111111)</f>
        <v>0.7736111111</v>
      </c>
      <c r="I177" s="138">
        <f>IFERROR(__xludf.DUMMYFUNCTION("IFERROR(INDEX(FILTER('Vân tay'!$A$5:$O330,'Vân tay'!$C$5:$C330=F177,'Vân tay'!$B$5:$B330=D177),1,14),"""")"),0.36944444444444446)</f>
        <v>0.3694444444</v>
      </c>
      <c r="J177" s="138">
        <v>0.7083333333333334</v>
      </c>
      <c r="K177" s="139">
        <f t="shared" ref="K177:K189" si="179">if(B177="","",if(J177&lt;&gt;"",if(I177&lt;$L$1,if(J177&lt;$L$1,J177-I177,$L$1-I177),0),"")*24/8)</f>
        <v>0.3916666667</v>
      </c>
      <c r="L177" s="139">
        <f t="shared" ref="L177:L189" si="180">if(I177="","",if(J177="","",if(J177&gt;$M$1,if(I177&lt;$M$1,J177-$M$1,J177-I177)*24/8,"")))</f>
        <v>0.5</v>
      </c>
      <c r="M177" s="139">
        <f t="shared" ref="M177:M189" si="181">if(B177="","",if(J177="",0.5,if(E177="NL",1,(K177+L177))))</f>
        <v>0.8916666667</v>
      </c>
      <c r="N177" s="139"/>
      <c r="O177" s="140">
        <f t="shared" ref="O177:O189" si="182">if(B177&lt;&gt;"",if(OR(J177="",M177=""),1,0),"")</f>
        <v>0</v>
      </c>
      <c r="P177" s="140">
        <f t="shared" ref="P177:P189" si="183">if(Y177="làm thêm ngày thường",X177,if(Y177="làm thêm T7, CN",M177,0))</f>
        <v>0</v>
      </c>
      <c r="Q177" s="139">
        <f>if(B177="","",if(J177="",0.5,if(E177="NL",1,(K177+L177))))</f>
        <v>0.8916666667</v>
      </c>
      <c r="R177" s="140">
        <f>if(and(or(WEEKDAY(D177,3)&lt;5,D177=$E$1,D177=$F$1,D177=$G$1),G177&lt;$Q$1,G177&lt;&gt;""),1,0)+if(and(or(WEEKDAY(D177,3)&lt;5,D177=$E$1,D177=$F$1,D177=$G$1),H177&gt;$R$1,H177&lt;&gt;""),1,0)</f>
        <v>0</v>
      </c>
      <c r="S177" s="144">
        <v>1.0</v>
      </c>
      <c r="T177" s="140">
        <f t="shared" ref="T177:T189" si="184">if(and(E177="ĐT",H177&lt;&gt;"",H177&gt;$R$1),1,0)</f>
        <v>0</v>
      </c>
      <c r="U177" s="140"/>
      <c r="V177" s="140"/>
      <c r="W177" s="140">
        <f t="shared" ref="W177:W189" si="185">if(E177="LX",if(and(G177&lt;$S$1,H177&gt;$T$1,M177&lt;&gt;1,M177&lt;&gt;"CT"),1,""),"")+if(E177="LX",if(and(G177&lt;$U$1,H177&gt;$V$1),1,""),"")</f>
        <v>0</v>
      </c>
      <c r="X177" s="142">
        <f t="shared" ref="X177:X189" si="186">if(B177="","",(if($I$1-G177&gt;0,$I$1-G177,0)+if(H177-$N$1&gt;0,H177-$N$1,0))*24/8)</f>
        <v>0.1958333333</v>
      </c>
      <c r="Y177" s="143"/>
    </row>
    <row r="178">
      <c r="A178" s="135">
        <v>169.0</v>
      </c>
      <c r="B178" s="135" t="s">
        <v>245</v>
      </c>
      <c r="C178" s="135" t="s">
        <v>83</v>
      </c>
      <c r="D178" s="136">
        <v>44686.0</v>
      </c>
      <c r="E178" s="135" t="str">
        <f>IFERROR(VLOOKUP(C178,'Công T5'!$C$7:$F$89,4,0),"")</f>
        <v>NV</v>
      </c>
      <c r="F178" s="137">
        <f>IFERROR(__xludf.DUMMYFUNCTION("INDEX(FILTER('Công T5'!$B$8:$C$89,'Công T5'!$C$8:$C$89=C178),1,1)"),10403.0)</f>
        <v>10403</v>
      </c>
      <c r="G178" s="138">
        <f>IFERROR(__xludf.DUMMYFUNCTION("IFERROR(INDEX(FILTER('Vân tay'!$A$5:$O330,'Vân tay'!$C$5:$C330=F178,'Vân tay'!$B$5:$B330=D178),1,10),"""")"),0.32430555555555557)</f>
        <v>0.3243055556</v>
      </c>
      <c r="H178" s="138">
        <f>IFERROR(__xludf.DUMMYFUNCTION("IFERROR(INDEX(FILTER('Vân tay'!$A$5:$O330,'Vân tay'!$C$5:$C330=F178,'Vân tay'!$B$5:$B330=D178),1,11),"""")"),0.7201388888888889)</f>
        <v>0.7201388889</v>
      </c>
      <c r="I178" s="138">
        <f>IFERROR(__xludf.DUMMYFUNCTION("IFERROR(INDEX(FILTER('Vân tay'!$A$5:$O330,'Vân tay'!$C$5:$C330=F178,'Vân tay'!$B$5:$B330=D178),1,14),"""")"),0.3333333333333333)</f>
        <v>0.3333333333</v>
      </c>
      <c r="J178" s="138">
        <f>IFERROR(__xludf.DUMMYFUNCTION("IFERROR(INDEX(FILTER('Vân tay'!$A$5:$O330,'Vân tay'!$C$5:$C330=F178,'Vân tay'!$B$5:$B330=D178),1,15),"""")"),0.7083333333333334)</f>
        <v>0.7083333333</v>
      </c>
      <c r="K178" s="139">
        <f t="shared" si="179"/>
        <v>0.5</v>
      </c>
      <c r="L178" s="139">
        <f t="shared" si="180"/>
        <v>0.5</v>
      </c>
      <c r="M178" s="139">
        <f t="shared" si="181"/>
        <v>1</v>
      </c>
      <c r="N178" s="140">
        <f>if(G178&lt;&gt;"",if(G178&gt;$I$1,1,0),"")</f>
        <v>0</v>
      </c>
      <c r="O178" s="140">
        <f t="shared" si="182"/>
        <v>0</v>
      </c>
      <c r="P178" s="140">
        <f t="shared" si="183"/>
        <v>0</v>
      </c>
      <c r="Q178" s="140">
        <f>if(or(D178='Công T5'!$B$97,D178='Công T5'!$B$98,D178='Công T5'!$B$99,D178='Công T5'!$B$100,D178='Công T5'!$B$101),if(M178="CT",1,if(M178="C/2",0.5,M178)),0)</f>
        <v>0</v>
      </c>
      <c r="R178" s="139">
        <v>1.0</v>
      </c>
      <c r="S178" s="141">
        <f t="shared" ref="S178:S179" si="187">if(and(WEEKDAY(D178,3)&gt;4,D178&lt;&gt;$E$1,D178&lt;&gt;$F$1,D178&lt;&gt;$G$1,G178&lt;$Q$1,G178&lt;&gt;""),1,0)+if(and(WEEKDAY(D178,3)&gt;4,D178&lt;&gt;$E$1,D178&lt;&gt;$F$1,D178&lt;&gt;$G$1,H178&gt;$R$1,H178&lt;&gt;""),1,0)</f>
        <v>0</v>
      </c>
      <c r="T178" s="140">
        <f t="shared" si="184"/>
        <v>0</v>
      </c>
      <c r="U178" s="140"/>
      <c r="V178" s="140"/>
      <c r="W178" s="140">
        <f t="shared" si="185"/>
        <v>0</v>
      </c>
      <c r="X178" s="142">
        <f t="shared" si="186"/>
        <v>0.0625</v>
      </c>
      <c r="Y178" s="143"/>
    </row>
    <row r="179">
      <c r="A179" s="135">
        <v>170.0</v>
      </c>
      <c r="B179" s="135" t="s">
        <v>246</v>
      </c>
      <c r="C179" s="135" t="s">
        <v>83</v>
      </c>
      <c r="D179" s="136">
        <v>44687.0</v>
      </c>
      <c r="E179" s="135" t="str">
        <f>IFERROR(VLOOKUP(C179,'Công T5'!$C$7:$F$89,4,0),"")</f>
        <v>NV</v>
      </c>
      <c r="F179" s="137">
        <f>IFERROR(__xludf.DUMMYFUNCTION("INDEX(FILTER('Công T5'!$B$8:$C$89,'Công T5'!$C$8:$C$89=C179),1,1)"),10403.0)</f>
        <v>10403</v>
      </c>
      <c r="G179" s="138">
        <f>IFERROR(__xludf.DUMMYFUNCTION("IFERROR(INDEX(FILTER('Vân tay'!$A$5:$O330,'Vân tay'!$C$5:$C330=F179,'Vân tay'!$B$5:$B330=D179),1,10),"""")"),0.35625)</f>
        <v>0.35625</v>
      </c>
      <c r="H179" s="138">
        <f>IFERROR(__xludf.DUMMYFUNCTION("IFERROR(INDEX(FILTER('Vân tay'!$A$5:$O330,'Vân tay'!$C$5:$C330=F179,'Vân tay'!$B$5:$B330=D179),1,11),"""")"),0.7131944444444445)</f>
        <v>0.7131944444</v>
      </c>
      <c r="I179" s="138">
        <v>0.3333333333333333</v>
      </c>
      <c r="J179" s="138">
        <f>IFERROR(__xludf.DUMMYFUNCTION("IFERROR(INDEX(FILTER('Vân tay'!$A$5:$O330,'Vân tay'!$C$5:$C330=F179,'Vân tay'!$B$5:$B330=D179),1,15),"""")"),0.7083333333333334)</f>
        <v>0.7083333333</v>
      </c>
      <c r="K179" s="139">
        <f t="shared" si="179"/>
        <v>0.5</v>
      </c>
      <c r="L179" s="139">
        <f t="shared" si="180"/>
        <v>0.5</v>
      </c>
      <c r="M179" s="139">
        <f t="shared" si="181"/>
        <v>1</v>
      </c>
      <c r="N179" s="140"/>
      <c r="O179" s="140">
        <f t="shared" si="182"/>
        <v>0</v>
      </c>
      <c r="P179" s="140">
        <f t="shared" si="183"/>
        <v>0</v>
      </c>
      <c r="Q179" s="140">
        <f>if(or(D179='Công T5'!$B$97,D179='Công T5'!$B$98,D179='Công T5'!$B$99,D179='Công T5'!$B$100,D179='Công T5'!$B$101),if(M179="CT",1,if(M179="C/2",0.5,M179)),0)</f>
        <v>0</v>
      </c>
      <c r="R179" s="140">
        <f t="shared" ref="R179:R180" si="188">if(and(or(WEEKDAY(D179,3)&lt;5,D179=$E$1,D179=$F$1,D179=$G$1),G179&lt;$Q$1,G179&lt;&gt;""),1,0)+if(and(or(WEEKDAY(D179,3)&lt;5,D179=$E$1,D179=$F$1,D179=$G$1),H179&gt;$R$1,H179&lt;&gt;""),1,0)</f>
        <v>0</v>
      </c>
      <c r="S179" s="141">
        <f t="shared" si="187"/>
        <v>0</v>
      </c>
      <c r="T179" s="140">
        <f t="shared" si="184"/>
        <v>0</v>
      </c>
      <c r="U179" s="140"/>
      <c r="V179" s="140"/>
      <c r="W179" s="140">
        <f t="shared" si="185"/>
        <v>0</v>
      </c>
      <c r="X179" s="142">
        <f t="shared" si="186"/>
        <v>0.01458333333</v>
      </c>
      <c r="Y179" s="143"/>
    </row>
    <row r="180">
      <c r="A180" s="135">
        <v>171.0</v>
      </c>
      <c r="B180" s="135" t="s">
        <v>247</v>
      </c>
      <c r="C180" s="135" t="s">
        <v>83</v>
      </c>
      <c r="D180" s="136">
        <v>44689.0</v>
      </c>
      <c r="E180" s="135" t="str">
        <f>IFERROR(VLOOKUP(C180,'Công T5'!$C$7:$F$89,4,0),"")</f>
        <v>NV</v>
      </c>
      <c r="F180" s="137">
        <f>IFERROR(__xludf.DUMMYFUNCTION("INDEX(FILTER('Công T5'!$B$8:$C$89,'Công T5'!$C$8:$C$89=C180),1,1)"),10403.0)</f>
        <v>10403</v>
      </c>
      <c r="G180" s="138">
        <f>IFERROR(__xludf.DUMMYFUNCTION("IFERROR(INDEX(FILTER('Vân tay'!$A$5:$O330,'Vân tay'!$C$5:$C330=F180,'Vân tay'!$B$5:$B330=D180),1,10),"""")"),0.34305555555555556)</f>
        <v>0.3430555556</v>
      </c>
      <c r="H180" s="138" t="str">
        <f>IFERROR(__xludf.DUMMYFUNCTION("IFERROR(INDEX(FILTER('Vân tay'!$A$5:$O330,'Vân tay'!$C$5:$C330=F180,'Vân tay'!$B$5:$B330=D180),1,11),"""")"),"")</f>
        <v/>
      </c>
      <c r="I180" s="138">
        <f>IFERROR(__xludf.DUMMYFUNCTION("IFERROR(INDEX(FILTER('Vân tay'!$A$5:$O330,'Vân tay'!$C$5:$C330=F180,'Vân tay'!$B$5:$B330=D180),1,14),"""")"),0.3333333333333333)</f>
        <v>0.3333333333</v>
      </c>
      <c r="J180" s="138">
        <v>0.7083333333333334</v>
      </c>
      <c r="K180" s="139">
        <f t="shared" si="179"/>
        <v>0.5</v>
      </c>
      <c r="L180" s="139">
        <f t="shared" si="180"/>
        <v>0.5</v>
      </c>
      <c r="M180" s="139">
        <f t="shared" si="181"/>
        <v>1</v>
      </c>
      <c r="N180" s="139"/>
      <c r="O180" s="140">
        <f t="shared" si="182"/>
        <v>0</v>
      </c>
      <c r="P180" s="140">
        <f t="shared" si="183"/>
        <v>0</v>
      </c>
      <c r="Q180" s="140">
        <f>if(or(D180='Công T5'!$B$97,D180='Công T5'!$B$98,D180='Công T5'!$B$99,D180='Công T5'!$B$100,D180='Công T5'!$B$101),if(M180="CT",1,if(M180="C/2",0.5,M180)),0)</f>
        <v>0</v>
      </c>
      <c r="R180" s="140">
        <f t="shared" si="188"/>
        <v>0</v>
      </c>
      <c r="S180" s="144"/>
      <c r="T180" s="140">
        <f t="shared" si="184"/>
        <v>0</v>
      </c>
      <c r="U180" s="140"/>
      <c r="V180" s="140"/>
      <c r="W180" s="140">
        <f t="shared" si="185"/>
        <v>0</v>
      </c>
      <c r="X180" s="142">
        <f t="shared" si="186"/>
        <v>0</v>
      </c>
      <c r="Y180" s="143"/>
    </row>
    <row r="181">
      <c r="A181" s="135">
        <v>172.0</v>
      </c>
      <c r="B181" s="135" t="s">
        <v>248</v>
      </c>
      <c r="C181" s="135" t="s">
        <v>83</v>
      </c>
      <c r="D181" s="136">
        <v>44690.0</v>
      </c>
      <c r="E181" s="135" t="str">
        <f>IFERROR(VLOOKUP(C181,'Công T5'!$C$7:$F$89,4,0),"")</f>
        <v>NV</v>
      </c>
      <c r="F181" s="137">
        <f>IFERROR(__xludf.DUMMYFUNCTION("INDEX(FILTER('Công T5'!$B$8:$C$89,'Công T5'!$C$8:$C$89=C181),1,1)"),10403.0)</f>
        <v>10403</v>
      </c>
      <c r="G181" s="138">
        <f>IFERROR(__xludf.DUMMYFUNCTION("IFERROR(INDEX(FILTER('Vân tay'!$A$5:$O330,'Vân tay'!$C$5:$C330=F181,'Vân tay'!$B$5:$B330=D181),1,10),"""")"),0.3958333333333333)</f>
        <v>0.3958333333</v>
      </c>
      <c r="H181" s="138">
        <f>IFERROR(__xludf.DUMMYFUNCTION("IFERROR(INDEX(FILTER('Vân tay'!$A$5:$O330,'Vân tay'!$C$5:$C330=F181,'Vân tay'!$B$5:$B330=D181),1,11),"""")"),0.7722222222222223)</f>
        <v>0.7722222222</v>
      </c>
      <c r="I181" s="138">
        <v>0.3333333333333333</v>
      </c>
      <c r="J181" s="138">
        <f>IFERROR(__xludf.DUMMYFUNCTION("IFERROR(INDEX(FILTER('Vân tay'!$A$5:$O330,'Vân tay'!$C$5:$C330=F181,'Vân tay'!$B$5:$B330=D181),1,15),"""")"),0.7083333333333334)</f>
        <v>0.7083333333</v>
      </c>
      <c r="K181" s="139">
        <f t="shared" si="179"/>
        <v>0.5</v>
      </c>
      <c r="L181" s="139">
        <f t="shared" si="180"/>
        <v>0.5</v>
      </c>
      <c r="M181" s="139">
        <f t="shared" si="181"/>
        <v>1</v>
      </c>
      <c r="N181" s="140"/>
      <c r="O181" s="140">
        <f t="shared" si="182"/>
        <v>0</v>
      </c>
      <c r="P181" s="140">
        <f t="shared" si="183"/>
        <v>0</v>
      </c>
      <c r="Q181" s="140">
        <f>if(or(D181='Công T5'!$B$97,D181='Công T5'!$B$98,D181='Công T5'!$B$99,D181='Công T5'!$B$100,D181='Công T5'!$B$101),if(M181="CT",1,if(M181="C/2",0.5,M181)),0)</f>
        <v>0</v>
      </c>
      <c r="R181" s="139">
        <v>1.0</v>
      </c>
      <c r="S181" s="141">
        <f t="shared" ref="S181:S183" si="189">if(and(WEEKDAY(D181,3)&gt;4,D181&lt;&gt;$E$1,D181&lt;&gt;$F$1,D181&lt;&gt;$G$1,G181&lt;$Q$1,G181&lt;&gt;""),1,0)+if(and(WEEKDAY(D181,3)&gt;4,D181&lt;&gt;$E$1,D181&lt;&gt;$F$1,D181&lt;&gt;$G$1,H181&gt;$R$1,H181&lt;&gt;""),1,0)</f>
        <v>0</v>
      </c>
      <c r="T181" s="140">
        <f t="shared" si="184"/>
        <v>0</v>
      </c>
      <c r="U181" s="140"/>
      <c r="V181" s="140"/>
      <c r="W181" s="140">
        <f t="shared" si="185"/>
        <v>0</v>
      </c>
      <c r="X181" s="142">
        <f t="shared" si="186"/>
        <v>0.1916666667</v>
      </c>
      <c r="Y181" s="143"/>
    </row>
    <row r="182">
      <c r="A182" s="135">
        <v>173.0</v>
      </c>
      <c r="B182" s="135" t="s">
        <v>249</v>
      </c>
      <c r="C182" s="135" t="s">
        <v>83</v>
      </c>
      <c r="D182" s="136">
        <v>44691.0</v>
      </c>
      <c r="E182" s="135" t="str">
        <f>IFERROR(VLOOKUP(C182,'Công T5'!$C$7:$F$89,4,0),"")</f>
        <v>NV</v>
      </c>
      <c r="F182" s="137">
        <f>IFERROR(__xludf.DUMMYFUNCTION("INDEX(FILTER('Công T5'!$B$8:$C$89,'Công T5'!$C$8:$C$89=C182),1,1)"),10403.0)</f>
        <v>10403</v>
      </c>
      <c r="G182" s="138">
        <f>IFERROR(__xludf.DUMMYFUNCTION("IFERROR(INDEX(FILTER('Vân tay'!$A$5:$O330,'Vân tay'!$C$5:$C330=F182,'Vân tay'!$B$5:$B330=D182),1,10),"""")"),0.42291666666666666)</f>
        <v>0.4229166667</v>
      </c>
      <c r="H182" s="138">
        <f>IFERROR(__xludf.DUMMYFUNCTION("IFERROR(INDEX(FILTER('Vân tay'!$A$5:$O330,'Vân tay'!$C$5:$C330=F182,'Vân tay'!$B$5:$B330=D182),1,11),"""")"),0.7208333333333333)</f>
        <v>0.7208333333</v>
      </c>
      <c r="I182" s="138">
        <v>0.3333333333333333</v>
      </c>
      <c r="J182" s="138">
        <v>0.7083333333333334</v>
      </c>
      <c r="K182" s="139">
        <f t="shared" si="179"/>
        <v>0.5</v>
      </c>
      <c r="L182" s="139">
        <f t="shared" si="180"/>
        <v>0.5</v>
      </c>
      <c r="M182" s="139">
        <f t="shared" si="181"/>
        <v>1</v>
      </c>
      <c r="N182" s="140"/>
      <c r="O182" s="140">
        <f t="shared" si="182"/>
        <v>0</v>
      </c>
      <c r="P182" s="140">
        <f t="shared" si="183"/>
        <v>0</v>
      </c>
      <c r="Q182" s="140">
        <f>if(or(D182='Công T5'!$B$97,D182='Công T5'!$B$98,D182='Công T5'!$B$99,D182='Công T5'!$B$100,D182='Công T5'!$B$101),if(M182="CT",1,if(M182="C/2",0.5,M182)),0)</f>
        <v>0</v>
      </c>
      <c r="R182" s="140">
        <f t="shared" ref="R182:R185" si="190">if(and(or(WEEKDAY(D182,3)&lt;5,D182=$E$1,D182=$F$1,D182=$G$1),G182&lt;$Q$1,G182&lt;&gt;""),1,0)+if(and(or(WEEKDAY(D182,3)&lt;5,D182=$E$1,D182=$F$1,D182=$G$1),H182&gt;$R$1,H182&lt;&gt;""),1,0)</f>
        <v>0</v>
      </c>
      <c r="S182" s="141">
        <f t="shared" si="189"/>
        <v>0</v>
      </c>
      <c r="T182" s="140">
        <f t="shared" si="184"/>
        <v>0</v>
      </c>
      <c r="U182" s="140"/>
      <c r="V182" s="140"/>
      <c r="W182" s="140">
        <f t="shared" si="185"/>
        <v>0</v>
      </c>
      <c r="X182" s="142">
        <f t="shared" si="186"/>
        <v>0.0375</v>
      </c>
      <c r="Y182" s="143"/>
    </row>
    <row r="183">
      <c r="A183" s="135">
        <v>174.0</v>
      </c>
      <c r="B183" s="135" t="s">
        <v>250</v>
      </c>
      <c r="C183" s="135" t="s">
        <v>83</v>
      </c>
      <c r="D183" s="136">
        <v>44694.0</v>
      </c>
      <c r="E183" s="135" t="str">
        <f>IFERROR(VLOOKUP(C183,'Công T5'!$C$7:$F$89,4,0),"")</f>
        <v>NV</v>
      </c>
      <c r="F183" s="137">
        <f>IFERROR(__xludf.DUMMYFUNCTION("INDEX(FILTER('Công T5'!$B$8:$C$89,'Công T5'!$C$8:$C$89=C183),1,1)"),10403.0)</f>
        <v>10403</v>
      </c>
      <c r="G183" s="138">
        <f>IFERROR(__xludf.DUMMYFUNCTION("IFERROR(INDEX(FILTER('Vân tay'!$A$5:$O330,'Vân tay'!$C$5:$C330=F183,'Vân tay'!$B$5:$B330=D183),1,10),"""")"),0.3958333333333333)</f>
        <v>0.3958333333</v>
      </c>
      <c r="H183" s="138">
        <f>IFERROR(__xludf.DUMMYFUNCTION("IFERROR(INDEX(FILTER('Vân tay'!$A$5:$O330,'Vân tay'!$C$5:$C330=F183,'Vân tay'!$B$5:$B330=D183),1,11),"""")"),0.7277777777777777)</f>
        <v>0.7277777778</v>
      </c>
      <c r="I183" s="138">
        <v>0.3333333333333333</v>
      </c>
      <c r="J183" s="138">
        <f>IFERROR(__xludf.DUMMYFUNCTION("IFERROR(INDEX(FILTER('Vân tay'!$A$5:$O330,'Vân tay'!$C$5:$C330=F183,'Vân tay'!$B$5:$B330=D183),1,15),"""")"),0.7083333333333334)</f>
        <v>0.7083333333</v>
      </c>
      <c r="K183" s="139">
        <f t="shared" si="179"/>
        <v>0.5</v>
      </c>
      <c r="L183" s="139">
        <f t="shared" si="180"/>
        <v>0.5</v>
      </c>
      <c r="M183" s="139">
        <f t="shared" si="181"/>
        <v>1</v>
      </c>
      <c r="N183" s="140"/>
      <c r="O183" s="140">
        <f t="shared" si="182"/>
        <v>0</v>
      </c>
      <c r="P183" s="140">
        <f t="shared" si="183"/>
        <v>0</v>
      </c>
      <c r="Q183" s="140">
        <f>if(or(D183='Công T5'!$B$97,D183='Công T5'!$B$98,D183='Công T5'!$B$99,D183='Công T5'!$B$100,D183='Công T5'!$B$101),if(M183="CT",1,if(M183="C/2",0.5,M183)),0)</f>
        <v>0</v>
      </c>
      <c r="R183" s="140">
        <f t="shared" si="190"/>
        <v>0</v>
      </c>
      <c r="S183" s="141">
        <f t="shared" si="189"/>
        <v>0</v>
      </c>
      <c r="T183" s="140">
        <f t="shared" si="184"/>
        <v>0</v>
      </c>
      <c r="U183" s="140"/>
      <c r="V183" s="140"/>
      <c r="W183" s="140">
        <f t="shared" si="185"/>
        <v>0</v>
      </c>
      <c r="X183" s="142">
        <f t="shared" si="186"/>
        <v>0.05833333333</v>
      </c>
      <c r="Y183" s="143"/>
    </row>
    <row r="184">
      <c r="A184" s="135">
        <v>175.0</v>
      </c>
      <c r="B184" s="135" t="s">
        <v>251</v>
      </c>
      <c r="C184" s="135" t="s">
        <v>83</v>
      </c>
      <c r="D184" s="136">
        <v>44696.0</v>
      </c>
      <c r="E184" s="135" t="str">
        <f>IFERROR(VLOOKUP(C184,'Công T5'!$C$7:$F$89,4,0),"")</f>
        <v>NV</v>
      </c>
      <c r="F184" s="137">
        <f>IFERROR(__xludf.DUMMYFUNCTION("INDEX(FILTER('Công T5'!$B$8:$C$89,'Công T5'!$C$8:$C$89=C184),1,1)"),10403.0)</f>
        <v>10403</v>
      </c>
      <c r="G184" s="138">
        <f>IFERROR(__xludf.DUMMYFUNCTION("IFERROR(INDEX(FILTER('Vân tay'!$A$5:$O330,'Vân tay'!$C$5:$C330=F184,'Vân tay'!$B$5:$B330=D184),1,10),"""")"),0.5402777777777777)</f>
        <v>0.5402777778</v>
      </c>
      <c r="H184" s="138">
        <f>IFERROR(__xludf.DUMMYFUNCTION("IFERROR(INDEX(FILTER('Vân tay'!$A$5:$O330,'Vân tay'!$C$5:$C330=F184,'Vân tay'!$B$5:$B330=D184),1,11),"""")"),0.7652777777777777)</f>
        <v>0.7652777778</v>
      </c>
      <c r="I184" s="138">
        <f>IFERROR(__xludf.DUMMYFUNCTION("IFERROR(INDEX(FILTER('Vân tay'!$A$5:$O330,'Vân tay'!$C$5:$C330=F184,'Vân tay'!$B$5:$B330=D184),1,14),"""")"),0.5416666666666666)</f>
        <v>0.5416666667</v>
      </c>
      <c r="J184" s="138">
        <f>IFERROR(__xludf.DUMMYFUNCTION("IFERROR(INDEX(FILTER('Vân tay'!$A$5:$O330,'Vân tay'!$C$5:$C330=F184,'Vân tay'!$B$5:$B330=D184),1,15),"""")"),0.7083333333333334)</f>
        <v>0.7083333333</v>
      </c>
      <c r="K184" s="139">
        <f t="shared" si="179"/>
        <v>0</v>
      </c>
      <c r="L184" s="139">
        <f t="shared" si="180"/>
        <v>0.5</v>
      </c>
      <c r="M184" s="139">
        <f t="shared" si="181"/>
        <v>0.5</v>
      </c>
      <c r="N184" s="140"/>
      <c r="O184" s="140">
        <f t="shared" si="182"/>
        <v>0</v>
      </c>
      <c r="P184" s="140">
        <f t="shared" si="183"/>
        <v>0</v>
      </c>
      <c r="Q184" s="140">
        <f>if(or(D184='Công T5'!$B$97,D184='Công T5'!$B$98,D184='Công T5'!$B$99,D184='Công T5'!$B$100,D184='Công T5'!$B$101),if(M184="CT",1,if(M184="C/2",0.5,M184)),0)</f>
        <v>0</v>
      </c>
      <c r="R184" s="140">
        <f t="shared" si="190"/>
        <v>0</v>
      </c>
      <c r="S184" s="144">
        <v>1.0</v>
      </c>
      <c r="T184" s="140">
        <f t="shared" si="184"/>
        <v>0</v>
      </c>
      <c r="U184" s="140"/>
      <c r="V184" s="140"/>
      <c r="W184" s="140">
        <f t="shared" si="185"/>
        <v>0</v>
      </c>
      <c r="X184" s="142">
        <f t="shared" si="186"/>
        <v>0.1708333333</v>
      </c>
      <c r="Y184" s="143"/>
    </row>
    <row r="185">
      <c r="A185" s="135">
        <v>176.0</v>
      </c>
      <c r="B185" s="135" t="s">
        <v>252</v>
      </c>
      <c r="C185" s="135" t="s">
        <v>83</v>
      </c>
      <c r="D185" s="136">
        <v>44697.0</v>
      </c>
      <c r="E185" s="135" t="str">
        <f>IFERROR(VLOOKUP(C185,'Công T5'!$C$7:$F$89,4,0),"")</f>
        <v>NV</v>
      </c>
      <c r="F185" s="137">
        <f>IFERROR(__xludf.DUMMYFUNCTION("INDEX(FILTER('Công T5'!$B$8:$C$89,'Công T5'!$C$8:$C$89=C185),1,1)"),10403.0)</f>
        <v>10403</v>
      </c>
      <c r="G185" s="138">
        <f>IFERROR(__xludf.DUMMYFUNCTION("IFERROR(INDEX(FILTER('Vân tay'!$A$5:$O330,'Vân tay'!$C$5:$C330=F185,'Vân tay'!$B$5:$B330=D185),1,10),"""")"),0.3923611111111111)</f>
        <v>0.3923611111</v>
      </c>
      <c r="H185" s="138">
        <f>IFERROR(__xludf.DUMMYFUNCTION("IFERROR(INDEX(FILTER('Vân tay'!$A$5:$O330,'Vân tay'!$C$5:$C330=F185,'Vân tay'!$B$5:$B330=D185),1,11),"""")"),0.6916666666666667)</f>
        <v>0.6916666667</v>
      </c>
      <c r="I185" s="138">
        <v>0.3333333333333333</v>
      </c>
      <c r="J185" s="138">
        <v>0.7083333333333334</v>
      </c>
      <c r="K185" s="139">
        <f t="shared" si="179"/>
        <v>0.5</v>
      </c>
      <c r="L185" s="139">
        <f t="shared" si="180"/>
        <v>0.5</v>
      </c>
      <c r="M185" s="139">
        <f t="shared" si="181"/>
        <v>1</v>
      </c>
      <c r="N185" s="140"/>
      <c r="O185" s="140">
        <f t="shared" si="182"/>
        <v>0</v>
      </c>
      <c r="P185" s="140">
        <f t="shared" si="183"/>
        <v>0</v>
      </c>
      <c r="Q185" s="140">
        <f>if(or(D185='Công T5'!$B$97,D185='Công T5'!$B$98,D185='Công T5'!$B$99,D185='Công T5'!$B$100,D185='Công T5'!$B$101),if(M185="CT",1,if(M185="C/2",0.5,M185)),0)</f>
        <v>0</v>
      </c>
      <c r="R185" s="140">
        <f t="shared" si="190"/>
        <v>0</v>
      </c>
      <c r="S185" s="141">
        <f t="shared" ref="S185:S189" si="191">if(and(WEEKDAY(D185,3)&gt;4,D185&lt;&gt;$E$1,D185&lt;&gt;$F$1,D185&lt;&gt;$G$1,G185&lt;$Q$1,G185&lt;&gt;""),1,0)+if(and(WEEKDAY(D185,3)&gt;4,D185&lt;&gt;$E$1,D185&lt;&gt;$F$1,D185&lt;&gt;$G$1,H185&gt;$R$1,H185&lt;&gt;""),1,0)</f>
        <v>0</v>
      </c>
      <c r="T185" s="140">
        <f t="shared" si="184"/>
        <v>0</v>
      </c>
      <c r="U185" s="140"/>
      <c r="V185" s="140"/>
      <c r="W185" s="140">
        <f t="shared" si="185"/>
        <v>0</v>
      </c>
      <c r="X185" s="142">
        <f t="shared" si="186"/>
        <v>0</v>
      </c>
      <c r="Y185" s="143"/>
    </row>
    <row r="186">
      <c r="A186" s="135">
        <v>177.0</v>
      </c>
      <c r="B186" s="135" t="s">
        <v>237</v>
      </c>
      <c r="C186" s="135" t="s">
        <v>83</v>
      </c>
      <c r="D186" s="136">
        <v>44698.0</v>
      </c>
      <c r="E186" s="135" t="str">
        <f>IFERROR(VLOOKUP(C186,'Công T5'!$C$7:$F$89,4,0),"")</f>
        <v>NV</v>
      </c>
      <c r="F186" s="137">
        <f>IFERROR(__xludf.DUMMYFUNCTION("INDEX(FILTER('Công T5'!$B$8:$C$89,'Công T5'!$C$8:$C$89=C186),1,1)"),10403.0)</f>
        <v>10403</v>
      </c>
      <c r="G186" s="138">
        <f>IFERROR(__xludf.DUMMYFUNCTION("IFERROR(INDEX(FILTER('Vân tay'!$A$5:$O330,'Vân tay'!$C$5:$C330=F186,'Vân tay'!$B$5:$B330=D186),1,10),"""")"),0.3298611111111111)</f>
        <v>0.3298611111</v>
      </c>
      <c r="H186" s="138" t="str">
        <f>IFERROR(__xludf.DUMMYFUNCTION("IFERROR(INDEX(FILTER('Vân tay'!$A$5:$O330,'Vân tay'!$C$5:$C330=F186,'Vân tay'!$B$5:$B330=D186),1,11),"""")"),"")</f>
        <v/>
      </c>
      <c r="I186" s="138">
        <v>0.3333333333333333</v>
      </c>
      <c r="J186" s="138">
        <v>0.7083333333333334</v>
      </c>
      <c r="K186" s="139">
        <f t="shared" si="179"/>
        <v>0.5</v>
      </c>
      <c r="L186" s="139">
        <f t="shared" si="180"/>
        <v>0.5</v>
      </c>
      <c r="M186" s="139">
        <f t="shared" si="181"/>
        <v>1</v>
      </c>
      <c r="N186" s="140"/>
      <c r="O186" s="140">
        <f t="shared" si="182"/>
        <v>0</v>
      </c>
      <c r="P186" s="140">
        <f t="shared" si="183"/>
        <v>0</v>
      </c>
      <c r="Q186" s="140">
        <f>if(or(D186='Công T5'!$B$97,D186='Công T5'!$B$98,D186='Công T5'!$B$99,D186='Công T5'!$B$100,D186='Công T5'!$B$101),if(M186="CT",1,if(M186="C/2",0.5,M186)),0)</f>
        <v>0</v>
      </c>
      <c r="R186" s="139">
        <v>1.0</v>
      </c>
      <c r="S186" s="141">
        <f t="shared" si="191"/>
        <v>0</v>
      </c>
      <c r="T186" s="140">
        <f t="shared" si="184"/>
        <v>0</v>
      </c>
      <c r="U186" s="140"/>
      <c r="V186" s="140"/>
      <c r="W186" s="140">
        <f t="shared" si="185"/>
        <v>0</v>
      </c>
      <c r="X186" s="142">
        <f t="shared" si="186"/>
        <v>0.01041666667</v>
      </c>
      <c r="Y186" s="143"/>
    </row>
    <row r="187">
      <c r="A187" s="135">
        <v>178.0</v>
      </c>
      <c r="B187" s="135" t="s">
        <v>253</v>
      </c>
      <c r="C187" s="135" t="s">
        <v>83</v>
      </c>
      <c r="D187" s="136">
        <v>44699.0</v>
      </c>
      <c r="E187" s="135" t="str">
        <f>IFERROR(VLOOKUP(C187,'Công T5'!$C$7:$F$89,4,0),"")</f>
        <v>NV</v>
      </c>
      <c r="F187" s="137">
        <f>IFERROR(__xludf.DUMMYFUNCTION("INDEX(FILTER('Công T5'!$B$8:$C$89,'Công T5'!$C$8:$C$89=C187),1,1)"),10403.0)</f>
        <v>10403</v>
      </c>
      <c r="G187" s="138">
        <f>IFERROR(__xludf.DUMMYFUNCTION("IFERROR(INDEX(FILTER('Vân tay'!$A$5:$O330,'Vân tay'!$C$5:$C330=F187,'Vân tay'!$B$5:$B330=D187),1,10),"""")"),0.3923611111111111)</f>
        <v>0.3923611111</v>
      </c>
      <c r="H187" s="138" t="str">
        <f>IFERROR(__xludf.DUMMYFUNCTION("IFERROR(INDEX(FILTER('Vân tay'!$A$5:$O330,'Vân tay'!$C$5:$C330=F187,'Vân tay'!$B$5:$B330=D187),1,11),"""")"),"")</f>
        <v/>
      </c>
      <c r="I187" s="138">
        <v>0.3333333333333333</v>
      </c>
      <c r="J187" s="138">
        <v>0.7083333333333334</v>
      </c>
      <c r="K187" s="139">
        <f t="shared" si="179"/>
        <v>0.5</v>
      </c>
      <c r="L187" s="139">
        <f t="shared" si="180"/>
        <v>0.5</v>
      </c>
      <c r="M187" s="139">
        <f t="shared" si="181"/>
        <v>1</v>
      </c>
      <c r="N187" s="140"/>
      <c r="O187" s="140">
        <f t="shared" si="182"/>
        <v>0</v>
      </c>
      <c r="P187" s="140">
        <f t="shared" si="183"/>
        <v>0</v>
      </c>
      <c r="Q187" s="140">
        <f>if(or(D187='Công T5'!$B$97,D187='Công T5'!$B$98,D187='Công T5'!$B$99,D187='Công T5'!$B$100,D187='Công T5'!$B$101),if(M187="CT",1,if(M187="C/2",0.5,M187)),0)</f>
        <v>0</v>
      </c>
      <c r="R187" s="140">
        <f>if(and(or(WEEKDAY(D187,3)&lt;5,D187=$E$1,D187=$F$1,D187=$G$1),G187&lt;$Q$1,G187&lt;&gt;""),1,0)+if(and(or(WEEKDAY(D187,3)&lt;5,D187=$E$1,D187=$F$1,D187=$G$1),H187&gt;$R$1,H187&lt;&gt;""),1,0)</f>
        <v>0</v>
      </c>
      <c r="S187" s="141">
        <f t="shared" si="191"/>
        <v>0</v>
      </c>
      <c r="T187" s="140">
        <f t="shared" si="184"/>
        <v>0</v>
      </c>
      <c r="U187" s="140"/>
      <c r="V187" s="140"/>
      <c r="W187" s="140">
        <f t="shared" si="185"/>
        <v>0</v>
      </c>
      <c r="X187" s="142">
        <f t="shared" si="186"/>
        <v>0</v>
      </c>
      <c r="Y187" s="143"/>
    </row>
    <row r="188">
      <c r="A188" s="135">
        <v>179.0</v>
      </c>
      <c r="B188" s="135" t="s">
        <v>237</v>
      </c>
      <c r="C188" s="135" t="s">
        <v>83</v>
      </c>
      <c r="D188" s="136">
        <v>44700.0</v>
      </c>
      <c r="E188" s="135" t="str">
        <f>IFERROR(VLOOKUP(C188,'Công T5'!$C$7:$F$89,4,0),"")</f>
        <v>NV</v>
      </c>
      <c r="F188" s="137">
        <f>IFERROR(__xludf.DUMMYFUNCTION("INDEX(FILTER('Công T5'!$B$8:$C$89,'Công T5'!$C$8:$C$89=C188),1,1)"),10403.0)</f>
        <v>10403</v>
      </c>
      <c r="G188" s="138">
        <f>IFERROR(__xludf.DUMMYFUNCTION("IFERROR(INDEX(FILTER('Vân tay'!$A$5:$O330,'Vân tay'!$C$5:$C330=F188,'Vân tay'!$B$5:$B330=D188),1,10),"""")"),0.33125)</f>
        <v>0.33125</v>
      </c>
      <c r="H188" s="138">
        <f>IFERROR(__xludf.DUMMYFUNCTION("IFERROR(INDEX(FILTER('Vân tay'!$A$5:$O330,'Vân tay'!$C$5:$C330=F188,'Vân tay'!$B$5:$B330=D188),1,11),"""")"),0.7277777777777777)</f>
        <v>0.7277777778</v>
      </c>
      <c r="I188" s="138">
        <v>0.3333333333333333</v>
      </c>
      <c r="J188" s="138">
        <v>0.7083333333333334</v>
      </c>
      <c r="K188" s="139">
        <f t="shared" si="179"/>
        <v>0.5</v>
      </c>
      <c r="L188" s="139">
        <f t="shared" si="180"/>
        <v>0.5</v>
      </c>
      <c r="M188" s="139">
        <f t="shared" si="181"/>
        <v>1</v>
      </c>
      <c r="N188" s="140"/>
      <c r="O188" s="140">
        <f t="shared" si="182"/>
        <v>0</v>
      </c>
      <c r="P188" s="140">
        <f t="shared" si="183"/>
        <v>0</v>
      </c>
      <c r="Q188" s="140">
        <f>if(or(D188='Công T5'!$B$97,D188='Công T5'!$B$98,D188='Công T5'!$B$99,D188='Công T5'!$B$100,D188='Công T5'!$B$101),if(M188="CT",1,if(M188="C/2",0.5,M188)),0)</f>
        <v>0</v>
      </c>
      <c r="R188" s="139">
        <v>1.0</v>
      </c>
      <c r="S188" s="141">
        <f t="shared" si="191"/>
        <v>0</v>
      </c>
      <c r="T188" s="140">
        <f t="shared" si="184"/>
        <v>0</v>
      </c>
      <c r="U188" s="140"/>
      <c r="V188" s="140"/>
      <c r="W188" s="140">
        <f t="shared" si="185"/>
        <v>0</v>
      </c>
      <c r="X188" s="142">
        <f t="shared" si="186"/>
        <v>0.06458333333</v>
      </c>
      <c r="Y188" s="143"/>
    </row>
    <row r="189">
      <c r="A189" s="135">
        <v>180.0</v>
      </c>
      <c r="B189" s="135" t="s">
        <v>254</v>
      </c>
      <c r="C189" s="135" t="s">
        <v>83</v>
      </c>
      <c r="D189" s="136">
        <v>44701.0</v>
      </c>
      <c r="E189" s="135" t="str">
        <f>IFERROR(VLOOKUP(C189,'Công T5'!$C$7:$F$89,4,0),"")</f>
        <v>NV</v>
      </c>
      <c r="F189" s="137">
        <f>IFERROR(__xludf.DUMMYFUNCTION("INDEX(FILTER('Công T5'!$B$8:$C$89,'Công T5'!$C$8:$C$89=C189),1,1)"),10403.0)</f>
        <v>10403</v>
      </c>
      <c r="G189" s="138">
        <f>IFERROR(__xludf.DUMMYFUNCTION("IFERROR(INDEX(FILTER('Vân tay'!$A$5:$O330,'Vân tay'!$C$5:$C330=F189,'Vân tay'!$B$5:$B330=D189),1,10),"""")"),0.40208333333333335)</f>
        <v>0.4020833333</v>
      </c>
      <c r="H189" s="138">
        <f>IFERROR(__xludf.DUMMYFUNCTION("IFERROR(INDEX(FILTER('Vân tay'!$A$5:$O330,'Vân tay'!$C$5:$C330=F189,'Vân tay'!$B$5:$B330=D189),1,11),"""")"),0.6784722222222223)</f>
        <v>0.6784722222</v>
      </c>
      <c r="I189" s="138">
        <v>0.3333333333333333</v>
      </c>
      <c r="J189" s="138">
        <v>0.7083333333333334</v>
      </c>
      <c r="K189" s="139">
        <f t="shared" si="179"/>
        <v>0.5</v>
      </c>
      <c r="L189" s="139">
        <f t="shared" si="180"/>
        <v>0.5</v>
      </c>
      <c r="M189" s="139">
        <f t="shared" si="181"/>
        <v>1</v>
      </c>
      <c r="N189" s="140"/>
      <c r="O189" s="140">
        <f t="shared" si="182"/>
        <v>0</v>
      </c>
      <c r="P189" s="140">
        <f t="shared" si="183"/>
        <v>0</v>
      </c>
      <c r="Q189" s="140">
        <f>if(or(D189='Công T5'!$B$97,D189='Công T5'!$B$98,D189='Công T5'!$B$99,D189='Công T5'!$B$100,D189='Công T5'!$B$101),if(M189="CT",1,if(M189="C/2",0.5,M189)),0)</f>
        <v>0</v>
      </c>
      <c r="R189" s="140">
        <f>if(and(or(WEEKDAY(D189,3)&lt;5,D189=$E$1,D189=$F$1,D189=$G$1),G189&lt;$Q$1,G189&lt;&gt;""),1,0)+if(and(or(WEEKDAY(D189,3)&lt;5,D189=$E$1,D189=$F$1,D189=$G$1),H189&gt;$R$1,H189&lt;&gt;""),1,0)</f>
        <v>0</v>
      </c>
      <c r="S189" s="141">
        <f t="shared" si="191"/>
        <v>0</v>
      </c>
      <c r="T189" s="140">
        <f t="shared" si="184"/>
        <v>0</v>
      </c>
      <c r="U189" s="140"/>
      <c r="V189" s="140"/>
      <c r="W189" s="140">
        <f t="shared" si="185"/>
        <v>0</v>
      </c>
      <c r="X189" s="142">
        <f t="shared" si="186"/>
        <v>0</v>
      </c>
      <c r="Y189" s="143"/>
    </row>
    <row r="190">
      <c r="A190" s="135"/>
      <c r="B190" s="135"/>
      <c r="C190" s="135"/>
      <c r="D190" s="136"/>
      <c r="E190" s="135"/>
      <c r="F190" s="137"/>
      <c r="G190" s="138"/>
      <c r="H190" s="138"/>
      <c r="I190" s="138"/>
      <c r="J190" s="138"/>
      <c r="K190" s="139"/>
      <c r="L190" s="139"/>
      <c r="M190" s="139"/>
      <c r="N190" s="140"/>
      <c r="O190" s="140"/>
      <c r="P190" s="140"/>
      <c r="Q190" s="140"/>
      <c r="R190" s="140"/>
      <c r="S190" s="141"/>
      <c r="T190" s="140"/>
      <c r="U190" s="140"/>
      <c r="V190" s="140"/>
      <c r="W190" s="140"/>
      <c r="X190" s="142"/>
      <c r="Y190" s="143"/>
    </row>
    <row r="191">
      <c r="A191" s="135">
        <v>182.0</v>
      </c>
      <c r="B191" s="135" t="s">
        <v>237</v>
      </c>
      <c r="C191" s="135" t="s">
        <v>83</v>
      </c>
      <c r="D191" s="136">
        <v>44704.0</v>
      </c>
      <c r="E191" s="135" t="str">
        <f>IFERROR(VLOOKUP(C191,'Công T5'!$C$7:$F$89,4,0),"")</f>
        <v>NV</v>
      </c>
      <c r="F191" s="137">
        <f>IFERROR(__xludf.DUMMYFUNCTION("INDEX(FILTER('Công T5'!$B$8:$C$89,'Công T5'!$C$8:$C$89=C191),1,1)"),10403.0)</f>
        <v>10403</v>
      </c>
      <c r="G191" s="138">
        <f>IFERROR(__xludf.DUMMYFUNCTION("IFERROR(INDEX(FILTER('Vân tay'!$A$5:$O330,'Vân tay'!$C$5:$C330=F191,'Vân tay'!$B$5:$B330=D191),1,10),"""")"),0.33125)</f>
        <v>0.33125</v>
      </c>
      <c r="H191" s="138">
        <f>IFERROR(__xludf.DUMMYFUNCTION("IFERROR(INDEX(FILTER('Vân tay'!$A$5:$O330,'Vân tay'!$C$5:$C330=F191,'Vân tay'!$B$5:$B330=D191),1,11),"""")"),0.7798611111111111)</f>
        <v>0.7798611111</v>
      </c>
      <c r="I191" s="138">
        <v>0.3333333333333333</v>
      </c>
      <c r="J191" s="138">
        <v>0.7083333333333334</v>
      </c>
      <c r="K191" s="139">
        <f t="shared" ref="K191:K195" si="192">if(B191="","",if(J191&lt;&gt;"",if(I191&lt;$L$1,if(J191&lt;$L$1,J191-I191,$L$1-I191),0),"")*24/8)</f>
        <v>0.5</v>
      </c>
      <c r="L191" s="139">
        <f t="shared" ref="L191:L195" si="193">if(I191="","",if(J191="","",if(J191&gt;$M$1,if(I191&lt;$M$1,J191-$M$1,J191-I191)*24/8,"")))</f>
        <v>0.5</v>
      </c>
      <c r="M191" s="139">
        <f t="shared" ref="M191:M193" si="194">if(B191="","",if(J191="",0.5,if(E191="NL",1,(K191+L191))))</f>
        <v>1</v>
      </c>
      <c r="N191" s="140"/>
      <c r="O191" s="140">
        <f t="shared" ref="O191:O193" si="195">if(B191&lt;&gt;"",if(OR(J191="",M191=""),1,0),"")</f>
        <v>0</v>
      </c>
      <c r="P191" s="140">
        <f t="shared" ref="P191:P195" si="196">if(Y191="làm thêm ngày thường",X191,if(Y191="làm thêm T7, CN",M191,0))</f>
        <v>0</v>
      </c>
      <c r="Q191" s="140">
        <f>if(or(D191='Công T5'!$B$97,D191='Công T5'!$B$98,D191='Công T5'!$B$99,D191='Công T5'!$B$100,D191='Công T5'!$B$101),if(M191="CT",1,if(M191="C/2",0.5,M191)),0)</f>
        <v>0</v>
      </c>
      <c r="R191" s="139">
        <v>1.0</v>
      </c>
      <c r="S191" s="141">
        <f t="shared" ref="S191:S195" si="197">if(and(WEEKDAY(D191,3)&gt;4,D191&lt;&gt;$E$1,D191&lt;&gt;$F$1,D191&lt;&gt;$G$1,G191&lt;$Q$1,G191&lt;&gt;""),1,0)+if(and(WEEKDAY(D191,3)&gt;4,D191&lt;&gt;$E$1,D191&lt;&gt;$F$1,D191&lt;&gt;$G$1,H191&gt;$R$1,H191&lt;&gt;""),1,0)</f>
        <v>0</v>
      </c>
      <c r="T191" s="140">
        <f t="shared" ref="T191:T195" si="198">if(and(E191="ĐT",H191&lt;&gt;"",H191&gt;$R$1),1,0)</f>
        <v>0</v>
      </c>
      <c r="U191" s="140"/>
      <c r="V191" s="140"/>
      <c r="W191" s="140">
        <f t="shared" ref="W191:W195" si="199">if(E191="LX",if(and(G191&lt;$S$1,H191&gt;$T$1,M191&lt;&gt;1,M191&lt;&gt;"CT"),1,""),"")+if(E191="LX",if(and(G191&lt;$U$1,H191&gt;$V$1),1,""),"")</f>
        <v>0</v>
      </c>
      <c r="X191" s="142">
        <f t="shared" ref="X191:X195" si="200">if(B191="","",(if($I$1-G191&gt;0,$I$1-G191,0)+if(H191-$N$1&gt;0,H191-$N$1,0))*24/8)</f>
        <v>0.2208333333</v>
      </c>
      <c r="Y191" s="143"/>
    </row>
    <row r="192">
      <c r="A192" s="135">
        <v>183.0</v>
      </c>
      <c r="B192" s="135" t="s">
        <v>255</v>
      </c>
      <c r="C192" s="135" t="s">
        <v>83</v>
      </c>
      <c r="D192" s="136">
        <v>44705.0</v>
      </c>
      <c r="E192" s="135" t="str">
        <f>IFERROR(VLOOKUP(C192,'Công T5'!$C$7:$F$89,4,0),"")</f>
        <v>NV</v>
      </c>
      <c r="F192" s="137">
        <f>IFERROR(__xludf.DUMMYFUNCTION("INDEX(FILTER('Công T5'!$B$8:$C$89,'Công T5'!$C$8:$C$89=C192),1,1)"),10403.0)</f>
        <v>10403</v>
      </c>
      <c r="G192" s="138">
        <f>IFERROR(__xludf.DUMMYFUNCTION("IFERROR(INDEX(FILTER('Vân tay'!$A$5:$O330,'Vân tay'!$C$5:$C330=F192,'Vân tay'!$B$5:$B330=D192),1,10),"""")"),0.3763888888888889)</f>
        <v>0.3763888889</v>
      </c>
      <c r="H192" s="138">
        <f>IFERROR(__xludf.DUMMYFUNCTION("IFERROR(INDEX(FILTER('Vân tay'!$A$5:$O330,'Vân tay'!$C$5:$C330=F192,'Vân tay'!$B$5:$B330=D192),1,11),"""")"),0.9659722222222222)</f>
        <v>0.9659722222</v>
      </c>
      <c r="I192" s="138">
        <v>0.3333333333333333</v>
      </c>
      <c r="J192" s="138">
        <f>IFERROR(__xludf.DUMMYFUNCTION("IFERROR(INDEX(FILTER('Vân tay'!$A$5:$O330,'Vân tay'!$C$5:$C330=F192,'Vân tay'!$B$5:$B330=D192),1,15),"""")"),0.7083333333333334)</f>
        <v>0.7083333333</v>
      </c>
      <c r="K192" s="139">
        <f t="shared" si="192"/>
        <v>0.5</v>
      </c>
      <c r="L192" s="139">
        <f t="shared" si="193"/>
        <v>0.5</v>
      </c>
      <c r="M192" s="139">
        <f t="shared" si="194"/>
        <v>1</v>
      </c>
      <c r="N192" s="140"/>
      <c r="O192" s="140">
        <f t="shared" si="195"/>
        <v>0</v>
      </c>
      <c r="P192" s="140">
        <f t="shared" si="196"/>
        <v>0</v>
      </c>
      <c r="Q192" s="140">
        <f>if(or(D192='Công T5'!$B$97,D192='Công T5'!$B$98,D192='Công T5'!$B$99,D192='Công T5'!$B$100,D192='Công T5'!$B$101),if(M192="CT",1,if(M192="C/2",0.5,M192)),0)</f>
        <v>0</v>
      </c>
      <c r="R192" s="140">
        <f t="shared" ref="R192:R195" si="201">if(and(or(WEEKDAY(D192,3)&lt;5,D192=$E$1,D192=$F$1,D192=$G$1),G192&lt;$Q$1,G192&lt;&gt;""),1,0)+if(and(or(WEEKDAY(D192,3)&lt;5,D192=$E$1,D192=$F$1,D192=$G$1),H192&gt;$R$1,H192&lt;&gt;""),1,0)</f>
        <v>1</v>
      </c>
      <c r="S192" s="141">
        <f t="shared" si="197"/>
        <v>0</v>
      </c>
      <c r="T192" s="140">
        <f t="shared" si="198"/>
        <v>0</v>
      </c>
      <c r="U192" s="140"/>
      <c r="V192" s="140"/>
      <c r="W192" s="140">
        <f t="shared" si="199"/>
        <v>0</v>
      </c>
      <c r="X192" s="142">
        <f t="shared" si="200"/>
        <v>0.7729166667</v>
      </c>
      <c r="Y192" s="143"/>
    </row>
    <row r="193">
      <c r="A193" s="135">
        <v>184.0</v>
      </c>
      <c r="B193" s="135" t="s">
        <v>256</v>
      </c>
      <c r="C193" s="135" t="s">
        <v>83</v>
      </c>
      <c r="D193" s="136">
        <v>44706.0</v>
      </c>
      <c r="E193" s="135" t="str">
        <f>IFERROR(VLOOKUP(C193,'Công T5'!$C$7:$F$89,4,0),"")</f>
        <v>NV</v>
      </c>
      <c r="F193" s="137">
        <f>IFERROR(__xludf.DUMMYFUNCTION("INDEX(FILTER('Công T5'!$B$8:$C$89,'Công T5'!$C$8:$C$89=C193),1,1)"),10403.0)</f>
        <v>10403</v>
      </c>
      <c r="G193" s="138">
        <f>IFERROR(__xludf.DUMMYFUNCTION("IFERROR(INDEX(FILTER('Vân tay'!$A$5:$O330,'Vân tay'!$C$5:$C330=F193,'Vân tay'!$B$5:$B330=D193),1,10),"""")"),0.37083333333333335)</f>
        <v>0.3708333333</v>
      </c>
      <c r="H193" s="138">
        <f>IFERROR(__xludf.DUMMYFUNCTION("IFERROR(INDEX(FILTER('Vân tay'!$A$5:$O330,'Vân tay'!$C$5:$C330=F193,'Vân tay'!$B$5:$B330=D193),1,11),"""")"),0.925)</f>
        <v>0.925</v>
      </c>
      <c r="I193" s="138">
        <v>0.3333333333333333</v>
      </c>
      <c r="J193" s="138">
        <f>IFERROR(__xludf.DUMMYFUNCTION("IFERROR(INDEX(FILTER('Vân tay'!$A$5:$O330,'Vân tay'!$C$5:$C330=F193,'Vân tay'!$B$5:$B330=D193),1,15),"""")"),0.7083333333333334)</f>
        <v>0.7083333333</v>
      </c>
      <c r="K193" s="139">
        <f t="shared" si="192"/>
        <v>0.5</v>
      </c>
      <c r="L193" s="139">
        <f t="shared" si="193"/>
        <v>0.5</v>
      </c>
      <c r="M193" s="139">
        <f t="shared" si="194"/>
        <v>1</v>
      </c>
      <c r="N193" s="140"/>
      <c r="O193" s="140">
        <f t="shared" si="195"/>
        <v>0</v>
      </c>
      <c r="P193" s="140">
        <f t="shared" si="196"/>
        <v>0</v>
      </c>
      <c r="Q193" s="140">
        <f>if(or(D193='Công T5'!$B$97,D193='Công T5'!$B$98,D193='Công T5'!$B$99,D193='Công T5'!$B$100,D193='Công T5'!$B$101),if(M193="CT",1,if(M193="C/2",0.5,M193)),0)</f>
        <v>0</v>
      </c>
      <c r="R193" s="140">
        <f t="shared" si="201"/>
        <v>1</v>
      </c>
      <c r="S193" s="141">
        <f t="shared" si="197"/>
        <v>0</v>
      </c>
      <c r="T193" s="140">
        <f t="shared" si="198"/>
        <v>0</v>
      </c>
      <c r="U193" s="140"/>
      <c r="V193" s="140"/>
      <c r="W193" s="140">
        <f t="shared" si="199"/>
        <v>0</v>
      </c>
      <c r="X193" s="142">
        <f t="shared" si="200"/>
        <v>0.65</v>
      </c>
      <c r="Y193" s="143"/>
    </row>
    <row r="194">
      <c r="A194" s="135">
        <v>185.0</v>
      </c>
      <c r="B194" s="135" t="s">
        <v>257</v>
      </c>
      <c r="C194" s="135" t="s">
        <v>56</v>
      </c>
      <c r="D194" s="136">
        <v>44677.0</v>
      </c>
      <c r="E194" s="135" t="str">
        <f>IFERROR(VLOOKUP(C194,'Công T5'!$C$7:$F$89,4,0),"")</f>
        <v>QS</v>
      </c>
      <c r="F194" s="137">
        <f>IFERROR(__xludf.DUMMYFUNCTION("INDEX(FILTER('Công T5'!$B$8:$C$89,'Công T5'!$C$8:$C$89=C194),1,1)"),10384.0)</f>
        <v>10384</v>
      </c>
      <c r="G194" s="138">
        <f>IFERROR(__xludf.DUMMYFUNCTION("IFERROR(INDEX(FILTER('Vân tay'!$A$5:$O330,'Vân tay'!$C$5:$C330=F194,'Vân tay'!$B$5:$B330=D194),1,10),"""")"),0.425)</f>
        <v>0.425</v>
      </c>
      <c r="H194" s="138" t="str">
        <f>IFERROR(__xludf.DUMMYFUNCTION("IFERROR(INDEX(FILTER('Vân tay'!$A$5:$O330,'Vân tay'!$C$5:$C330=F194,'Vân tay'!$B$5:$B330=D194),1,11),"""")"),"")</f>
        <v/>
      </c>
      <c r="I194" s="138">
        <f>IFERROR(__xludf.DUMMYFUNCTION("IFERROR(INDEX(FILTER('Vân tay'!$A$5:$O330,'Vân tay'!$C$5:$C330=F194,'Vân tay'!$B$5:$B330=D194),1,14),"""")"),0.425)</f>
        <v>0.425</v>
      </c>
      <c r="J194" s="138" t="str">
        <f>IFERROR(__xludf.DUMMYFUNCTION("IFERROR(INDEX(FILTER('Vân tay'!$A$5:$O330,'Vân tay'!$C$5:$C330=F194,'Vân tay'!$B$5:$B330=D194),1,15),"""")"),"")</f>
        <v/>
      </c>
      <c r="K194" s="139">
        <f t="shared" si="192"/>
        <v>0</v>
      </c>
      <c r="L194" s="139" t="str">
        <f t="shared" si="193"/>
        <v/>
      </c>
      <c r="M194" s="139">
        <v>1.0</v>
      </c>
      <c r="N194" s="140"/>
      <c r="O194" s="140"/>
      <c r="P194" s="140">
        <f t="shared" si="196"/>
        <v>0</v>
      </c>
      <c r="Q194" s="140">
        <f>if(or(D194='Công T5'!$B$97,D194='Công T5'!$B$98,D194='Công T5'!$B$99,D194='Công T5'!$B$100,D194='Công T5'!$B$101),if(M194="CT",1,if(M194="C/2",0.5,M194)),0)</f>
        <v>0</v>
      </c>
      <c r="R194" s="140">
        <f t="shared" si="201"/>
        <v>0</v>
      </c>
      <c r="S194" s="141">
        <f t="shared" si="197"/>
        <v>0</v>
      </c>
      <c r="T194" s="140">
        <f t="shared" si="198"/>
        <v>0</v>
      </c>
      <c r="U194" s="140"/>
      <c r="V194" s="140"/>
      <c r="W194" s="140">
        <f t="shared" si="199"/>
        <v>0</v>
      </c>
      <c r="X194" s="142">
        <f t="shared" si="200"/>
        <v>0</v>
      </c>
      <c r="Y194" s="143"/>
    </row>
    <row r="195">
      <c r="A195" s="135">
        <v>186.0</v>
      </c>
      <c r="B195" s="135" t="s">
        <v>257</v>
      </c>
      <c r="C195" s="135" t="s">
        <v>56</v>
      </c>
      <c r="D195" s="136">
        <v>44678.0</v>
      </c>
      <c r="E195" s="135" t="str">
        <f>IFERROR(VLOOKUP(C195,'Công T5'!$C$7:$F$89,4,0),"")</f>
        <v>QS</v>
      </c>
      <c r="F195" s="137">
        <f>IFERROR(__xludf.DUMMYFUNCTION("INDEX(FILTER('Công T5'!$B$8:$C$89,'Công T5'!$C$8:$C$89=C195),1,1)"),10384.0)</f>
        <v>10384</v>
      </c>
      <c r="G195" s="138">
        <f>IFERROR(__xludf.DUMMYFUNCTION("IFERROR(INDEX(FILTER('Vân tay'!$A$5:$O330,'Vân tay'!$C$5:$C330=F195,'Vân tay'!$B$5:$B330=D195),1,10),"""")"),0.38680555555555557)</f>
        <v>0.3868055556</v>
      </c>
      <c r="H195" s="138" t="str">
        <f>IFERROR(__xludf.DUMMYFUNCTION("IFERROR(INDEX(FILTER('Vân tay'!$A$5:$O330,'Vân tay'!$C$5:$C330=F195,'Vân tay'!$B$5:$B330=D195),1,11),"""")"),"")</f>
        <v/>
      </c>
      <c r="I195" s="138">
        <f>IFERROR(__xludf.DUMMYFUNCTION("IFERROR(INDEX(FILTER('Vân tay'!$A$5:$O330,'Vân tay'!$C$5:$C330=F195,'Vân tay'!$B$5:$B330=D195),1,14),"""")"),0.38680555555555557)</f>
        <v>0.3868055556</v>
      </c>
      <c r="J195" s="138" t="str">
        <f>IFERROR(__xludf.DUMMYFUNCTION("IFERROR(INDEX(FILTER('Vân tay'!$A$5:$O330,'Vân tay'!$C$5:$C330=F195,'Vân tay'!$B$5:$B330=D195),1,15),"""")"),"")</f>
        <v/>
      </c>
      <c r="K195" s="139">
        <f t="shared" si="192"/>
        <v>0</v>
      </c>
      <c r="L195" s="139" t="str">
        <f t="shared" si="193"/>
        <v/>
      </c>
      <c r="M195" s="139">
        <v>1.0</v>
      </c>
      <c r="N195" s="140"/>
      <c r="O195" s="140"/>
      <c r="P195" s="140">
        <f t="shared" si="196"/>
        <v>0</v>
      </c>
      <c r="Q195" s="140">
        <f>if(or(D195='Công T5'!$B$97,D195='Công T5'!$B$98,D195='Công T5'!$B$99,D195='Công T5'!$B$100,D195='Công T5'!$B$101),if(M195="CT",1,if(M195="C/2",0.5,M195)),0)</f>
        <v>0</v>
      </c>
      <c r="R195" s="140">
        <f t="shared" si="201"/>
        <v>0</v>
      </c>
      <c r="S195" s="141">
        <f t="shared" si="197"/>
        <v>0</v>
      </c>
      <c r="T195" s="140">
        <f t="shared" si="198"/>
        <v>0</v>
      </c>
      <c r="U195" s="140"/>
      <c r="V195" s="140"/>
      <c r="W195" s="140">
        <f t="shared" si="199"/>
        <v>0</v>
      </c>
      <c r="X195" s="142">
        <f t="shared" si="200"/>
        <v>0</v>
      </c>
      <c r="Y195" s="143"/>
    </row>
    <row r="196">
      <c r="A196" s="135">
        <v>187.0</v>
      </c>
      <c r="B196" s="135" t="s">
        <v>187</v>
      </c>
      <c r="C196" s="135" t="s">
        <v>56</v>
      </c>
      <c r="D196" s="136">
        <v>44681.0</v>
      </c>
      <c r="E196" s="135" t="str">
        <f>IFERROR(VLOOKUP(C196,'Công T5'!$C$7:$F$89,4,0),"")</f>
        <v>QS</v>
      </c>
      <c r="F196" s="137">
        <f>IFERROR(__xludf.DUMMYFUNCTION("INDEX(FILTER('Công T5'!$B$8:$C$89,'Công T5'!$C$8:$C$89=C196),1,1)"),10384.0)</f>
        <v>10384</v>
      </c>
      <c r="G196" s="138"/>
      <c r="H196" s="138"/>
      <c r="I196" s="138"/>
      <c r="J196" s="138"/>
      <c r="K196" s="139"/>
      <c r="L196" s="139"/>
      <c r="M196" s="139" t="s">
        <v>43</v>
      </c>
      <c r="N196" s="140"/>
      <c r="O196" s="140"/>
      <c r="P196" s="140"/>
      <c r="Q196" s="140"/>
      <c r="R196" s="140"/>
      <c r="S196" s="141"/>
      <c r="T196" s="140"/>
      <c r="U196" s="140"/>
      <c r="V196" s="140"/>
      <c r="W196" s="140"/>
      <c r="X196" s="142"/>
      <c r="Y196" s="143"/>
    </row>
    <row r="197">
      <c r="A197" s="135">
        <v>188.0</v>
      </c>
      <c r="B197" s="135" t="s">
        <v>187</v>
      </c>
      <c r="C197" s="135" t="s">
        <v>56</v>
      </c>
      <c r="D197" s="136">
        <v>44682.0</v>
      </c>
      <c r="E197" s="135" t="str">
        <f>IFERROR(VLOOKUP(C197,'Công T5'!$C$7:$F$89,4,0),"")</f>
        <v>QS</v>
      </c>
      <c r="F197" s="137">
        <f>IFERROR(__xludf.DUMMYFUNCTION("INDEX(FILTER('Công T5'!$B$8:$C$89,'Công T5'!$C$8:$C$89=C197),1,1)"),10384.0)</f>
        <v>10384</v>
      </c>
      <c r="G197" s="138"/>
      <c r="H197" s="138"/>
      <c r="I197" s="138"/>
      <c r="J197" s="138"/>
      <c r="K197" s="139"/>
      <c r="L197" s="139"/>
      <c r="M197" s="139" t="s">
        <v>43</v>
      </c>
      <c r="N197" s="140"/>
      <c r="O197" s="140"/>
      <c r="P197" s="140"/>
      <c r="Q197" s="140"/>
      <c r="R197" s="140"/>
      <c r="S197" s="141"/>
      <c r="T197" s="140"/>
      <c r="U197" s="140"/>
      <c r="V197" s="140"/>
      <c r="W197" s="140"/>
      <c r="X197" s="142"/>
      <c r="Y197" s="143"/>
    </row>
    <row r="198">
      <c r="A198" s="135">
        <v>189.0</v>
      </c>
      <c r="B198" s="135" t="s">
        <v>258</v>
      </c>
      <c r="C198" s="135" t="s">
        <v>56</v>
      </c>
      <c r="D198" s="136">
        <v>44686.0</v>
      </c>
      <c r="E198" s="135" t="str">
        <f>IFERROR(VLOOKUP(C198,'Công T5'!$C$7:$F$89,4,0),"")</f>
        <v>QS</v>
      </c>
      <c r="F198" s="137">
        <f>IFERROR(__xludf.DUMMYFUNCTION("INDEX(FILTER('Công T5'!$B$8:$C$89,'Công T5'!$C$8:$C$89=C198),1,1)"),10384.0)</f>
        <v>10384</v>
      </c>
      <c r="G198" s="138">
        <f>IFERROR(__xludf.DUMMYFUNCTION("IFERROR(INDEX(FILTER('Vân tay'!$A$5:$O330,'Vân tay'!$C$5:$C330=F198,'Vân tay'!$B$5:$B330=D198),1,10),"""")"),0.30694444444444446)</f>
        <v>0.3069444444</v>
      </c>
      <c r="H198" s="138">
        <f>IFERROR(__xludf.DUMMYFUNCTION("IFERROR(INDEX(FILTER('Vân tay'!$A$5:$O330,'Vân tay'!$C$5:$C330=F198,'Vân tay'!$B$5:$B330=D198),1,11),"""")"),0.7784722222222222)</f>
        <v>0.7784722222</v>
      </c>
      <c r="I198" s="138">
        <f>IFERROR(__xludf.DUMMYFUNCTION("IFERROR(INDEX(FILTER('Vân tay'!$A$5:$O330,'Vân tay'!$C$5:$C330=F198,'Vân tay'!$B$5:$B330=D198),1,14),"""")"),0.3333333333333333)</f>
        <v>0.3333333333</v>
      </c>
      <c r="J198" s="138">
        <f>IFERROR(__xludf.DUMMYFUNCTION("IFERROR(INDEX(FILTER('Vân tay'!$A$5:$O330,'Vân tay'!$C$5:$C330=F198,'Vân tay'!$B$5:$B330=D198),1,15),"""")"),0.7083333333333334)</f>
        <v>0.7083333333</v>
      </c>
      <c r="K198" s="139">
        <f t="shared" ref="K198:K209" si="202">if(B198="","",if(J198&lt;&gt;"",if(I198&lt;$L$1,if(J198&lt;$L$1,J198-I198,$L$1-I198),0),"")*24/8)</f>
        <v>0.5</v>
      </c>
      <c r="L198" s="139">
        <f t="shared" ref="L198:L209" si="203">if(I198="","",if(J198="","",if(J198&gt;$M$1,if(I198&lt;$M$1,J198-$M$1,J198-I198)*24/8,"")))</f>
        <v>0.5</v>
      </c>
      <c r="M198" s="139">
        <f t="shared" ref="M198:M199" si="204">if(P198&lt;&gt;0,text(P198,"+0.0"),if(B198="","",if(J198="",0.5,if(E198="NL",1,(K198+L198)))))</f>
        <v>1</v>
      </c>
      <c r="N198" s="140">
        <f t="shared" ref="N198:N199" si="205">if(G198&lt;&gt;"",if(G198&gt;$I$1,1,0),"")</f>
        <v>0</v>
      </c>
      <c r="O198" s="140">
        <f t="shared" ref="O198:O209" si="206">if(B198&lt;&gt;"",if(OR(J198="",M198=""),1,0),"")</f>
        <v>0</v>
      </c>
      <c r="P198" s="140">
        <f t="shared" ref="P198:P209" si="207">if(Y198="làm thêm ngày thường",X198,if(Y198="làm thêm T7, CN",M198,0))</f>
        <v>0</v>
      </c>
      <c r="Q198" s="140">
        <f>if(or(D198='Công T5'!$B$97,D198='Công T5'!$B$98,D198='Công T5'!$B$99,D198='Công T5'!$B$100,D198='Công T5'!$B$101),if(M198="CT",1,if(M198="C/2",0.5,M198)),0)</f>
        <v>0</v>
      </c>
      <c r="R198" s="140">
        <f t="shared" ref="R198:R202" si="208">if(and(or(WEEKDAY(D198,3)&lt;5,D198=$E$1,D198=$F$1,D198=$G$1),G198&lt;$Q$1,G198&lt;&gt;""),1,0)+if(and(or(WEEKDAY(D198,3)&lt;5,D198=$E$1,D198=$F$1,D198=$G$1),H198&gt;$R$1,H198&lt;&gt;""),1,0)</f>
        <v>0</v>
      </c>
      <c r="S198" s="144">
        <v>1.0</v>
      </c>
      <c r="T198" s="140">
        <f t="shared" ref="T198:T209" si="209">if(and(E198="ĐT",H198&lt;&gt;"",H198&gt;$R$1),1,0)</f>
        <v>0</v>
      </c>
      <c r="U198" s="140"/>
      <c r="V198" s="140"/>
      <c r="W198" s="140">
        <f t="shared" ref="W198:W209" si="210">if(E198="LX",if(and(G198&lt;$S$1,H198&gt;$T$1,M198&lt;&gt;1,M198&lt;&gt;"CT"),1,""),"")+if(E198="LX",if(and(G198&lt;$U$1,H198&gt;$V$1),1,""),"")</f>
        <v>0</v>
      </c>
      <c r="X198" s="142">
        <f t="shared" ref="X198:X209" si="211">if(B198="","",(if($I$1-G198&gt;0,$I$1-G198,0)+if(H198-$N$1&gt;0,H198-$N$1,0))*24/8)</f>
        <v>0.2895833333</v>
      </c>
      <c r="Y198" s="143"/>
    </row>
    <row r="199">
      <c r="A199" s="135">
        <v>190.0</v>
      </c>
      <c r="B199" s="135" t="s">
        <v>258</v>
      </c>
      <c r="C199" s="135" t="s">
        <v>56</v>
      </c>
      <c r="D199" s="136">
        <v>44690.0</v>
      </c>
      <c r="E199" s="135" t="str">
        <f>IFERROR(VLOOKUP(C199,'Công T5'!$C$7:$F$89,4,0),"")</f>
        <v>QS</v>
      </c>
      <c r="F199" s="137">
        <f>IFERROR(__xludf.DUMMYFUNCTION("INDEX(FILTER('Công T5'!$B$8:$C$89,'Công T5'!$C$8:$C$89=C199),1,1)"),10384.0)</f>
        <v>10384</v>
      </c>
      <c r="G199" s="138">
        <f>IFERROR(__xludf.DUMMYFUNCTION("IFERROR(INDEX(FILTER('Vân tay'!$A$5:$O330,'Vân tay'!$C$5:$C330=F199,'Vân tay'!$B$5:$B330=D199),1,10),"""")"),0.28402777777777777)</f>
        <v>0.2840277778</v>
      </c>
      <c r="H199" s="138">
        <f>IFERROR(__xludf.DUMMYFUNCTION("IFERROR(INDEX(FILTER('Vân tay'!$A$5:$O330,'Vân tay'!$C$5:$C330=F199,'Vân tay'!$B$5:$B330=D199),1,11),"""")"),0.775)</f>
        <v>0.775</v>
      </c>
      <c r="I199" s="138">
        <f>IFERROR(__xludf.DUMMYFUNCTION("IFERROR(INDEX(FILTER('Vân tay'!$A$5:$O330,'Vân tay'!$C$5:$C330=F199,'Vân tay'!$B$5:$B330=D199),1,14),"""")"),0.3333333333333333)</f>
        <v>0.3333333333</v>
      </c>
      <c r="J199" s="138">
        <f>IFERROR(__xludf.DUMMYFUNCTION("IFERROR(INDEX(FILTER('Vân tay'!$A$5:$O330,'Vân tay'!$C$5:$C330=F199,'Vân tay'!$B$5:$B330=D199),1,15),"""")"),0.7083333333333334)</f>
        <v>0.7083333333</v>
      </c>
      <c r="K199" s="139">
        <f t="shared" si="202"/>
        <v>0.5</v>
      </c>
      <c r="L199" s="139">
        <f t="shared" si="203"/>
        <v>0.5</v>
      </c>
      <c r="M199" s="139">
        <f t="shared" si="204"/>
        <v>1</v>
      </c>
      <c r="N199" s="140">
        <f t="shared" si="205"/>
        <v>0</v>
      </c>
      <c r="O199" s="140">
        <f t="shared" si="206"/>
        <v>0</v>
      </c>
      <c r="P199" s="140">
        <f t="shared" si="207"/>
        <v>0</v>
      </c>
      <c r="Q199" s="140">
        <f>if(or(D199='Công T5'!$B$97,D199='Công T5'!$B$98,D199='Công T5'!$B$99,D199='Công T5'!$B$100,D199='Công T5'!$B$101),if(M199="CT",1,if(M199="C/2",0.5,M199)),0)</f>
        <v>0</v>
      </c>
      <c r="R199" s="140">
        <f t="shared" si="208"/>
        <v>0</v>
      </c>
      <c r="S199" s="144">
        <v>1.0</v>
      </c>
      <c r="T199" s="140">
        <f t="shared" si="209"/>
        <v>0</v>
      </c>
      <c r="U199" s="140"/>
      <c r="V199" s="140"/>
      <c r="W199" s="140">
        <f t="shared" si="210"/>
        <v>0</v>
      </c>
      <c r="X199" s="142">
        <f t="shared" si="211"/>
        <v>0.3479166667</v>
      </c>
      <c r="Y199" s="143"/>
    </row>
    <row r="200">
      <c r="A200" s="135">
        <v>191.0</v>
      </c>
      <c r="B200" s="135" t="s">
        <v>258</v>
      </c>
      <c r="C200" s="135" t="s">
        <v>56</v>
      </c>
      <c r="D200" s="136">
        <v>44695.0</v>
      </c>
      <c r="E200" s="135" t="str">
        <f>IFERROR(VLOOKUP(C200,'Công T5'!$C$7:$F$89,4,0),"")</f>
        <v>QS</v>
      </c>
      <c r="F200" s="137">
        <f>IFERROR(__xludf.DUMMYFUNCTION("INDEX(FILTER('Công T5'!$B$8:$C$89,'Công T5'!$C$8:$C$89=C200),1,1)"),10384.0)</f>
        <v>10384</v>
      </c>
      <c r="G200" s="138">
        <f>IFERROR(__xludf.DUMMYFUNCTION("IFERROR(INDEX(FILTER('Vân tay'!$A$5:$O330,'Vân tay'!$C$5:$C330=F200,'Vân tay'!$B$5:$B330=D200),1,10),"""")"),0.38055555555555554)</f>
        <v>0.3805555556</v>
      </c>
      <c r="H200" s="138">
        <f>IFERROR(__xludf.DUMMYFUNCTION("IFERROR(INDEX(FILTER('Vân tay'!$A$5:$O330,'Vân tay'!$C$5:$C330=F200,'Vân tay'!$B$5:$B330=D200),1,11),"""")"),0.8284722222222223)</f>
        <v>0.8284722222</v>
      </c>
      <c r="I200" s="138">
        <f>IFERROR(__xludf.DUMMYFUNCTION("IFERROR(INDEX(FILTER('Vân tay'!$A$5:$O330,'Vân tay'!$C$5:$C330=F200,'Vân tay'!$B$5:$B330=D200),1,14),"""")"),0.38055555555555554)</f>
        <v>0.3805555556</v>
      </c>
      <c r="J200" s="138">
        <f>IFERROR(__xludf.DUMMYFUNCTION("IFERROR(INDEX(FILTER('Vân tay'!$A$5:$O330,'Vân tay'!$C$5:$C330=F200,'Vân tay'!$B$5:$B330=D200),1,15),"""")"),0.7083333333333334)</f>
        <v>0.7083333333</v>
      </c>
      <c r="K200" s="139">
        <f t="shared" si="202"/>
        <v>0.3583333333</v>
      </c>
      <c r="L200" s="139">
        <f t="shared" si="203"/>
        <v>0.5</v>
      </c>
      <c r="M200" s="139">
        <v>1.0</v>
      </c>
      <c r="N200" s="140"/>
      <c r="O200" s="140">
        <f t="shared" si="206"/>
        <v>0</v>
      </c>
      <c r="P200" s="140">
        <f t="shared" si="207"/>
        <v>0</v>
      </c>
      <c r="Q200" s="140">
        <f>if(or(D200='Công T5'!$B$97,D200='Công T5'!$B$98,D200='Công T5'!$B$99,D200='Công T5'!$B$100,D200='Công T5'!$B$101),if(M200="CT",1,if(M200="C/2",0.5,M200)),0)</f>
        <v>0</v>
      </c>
      <c r="R200" s="140">
        <f t="shared" si="208"/>
        <v>0</v>
      </c>
      <c r="S200" s="144">
        <v>1.0</v>
      </c>
      <c r="T200" s="140">
        <f t="shared" si="209"/>
        <v>0</v>
      </c>
      <c r="U200" s="140"/>
      <c r="V200" s="140"/>
      <c r="W200" s="140">
        <f t="shared" si="210"/>
        <v>0</v>
      </c>
      <c r="X200" s="142">
        <f t="shared" si="211"/>
        <v>0.3604166667</v>
      </c>
      <c r="Y200" s="143"/>
    </row>
    <row r="201">
      <c r="A201" s="135">
        <v>192.0</v>
      </c>
      <c r="B201" s="135" t="s">
        <v>258</v>
      </c>
      <c r="C201" s="135" t="s">
        <v>56</v>
      </c>
      <c r="D201" s="136">
        <v>44696.0</v>
      </c>
      <c r="E201" s="135" t="str">
        <f>IFERROR(VLOOKUP(C201,'Công T5'!$C$7:$F$89,4,0),"")</f>
        <v>QS</v>
      </c>
      <c r="F201" s="137">
        <f>IFERROR(__xludf.DUMMYFUNCTION("INDEX(FILTER('Công T5'!$B$8:$C$89,'Công T5'!$C$8:$C$89=C201),1,1)"),10384.0)</f>
        <v>10384</v>
      </c>
      <c r="G201" s="138">
        <f>IFERROR(__xludf.DUMMYFUNCTION("IFERROR(INDEX(FILTER('Vân tay'!$A$5:$O330,'Vân tay'!$C$5:$C330=F201,'Vân tay'!$B$5:$B330=D201),1,10),"""")"),0.2513888888888889)</f>
        <v>0.2513888889</v>
      </c>
      <c r="H201" s="138">
        <f>IFERROR(__xludf.DUMMYFUNCTION("IFERROR(INDEX(FILTER('Vân tay'!$A$5:$O330,'Vân tay'!$C$5:$C330=F201,'Vân tay'!$B$5:$B330=D201),1,11),"""")"),0.7013888888888888)</f>
        <v>0.7013888889</v>
      </c>
      <c r="I201" s="138">
        <f>IFERROR(__xludf.DUMMYFUNCTION("IFERROR(INDEX(FILTER('Vân tay'!$A$5:$O330,'Vân tay'!$C$5:$C330=F201,'Vân tay'!$B$5:$B330=D201),1,14),"""")"),0.3333333333333333)</f>
        <v>0.3333333333</v>
      </c>
      <c r="J201" s="138">
        <v>0.7083333333333334</v>
      </c>
      <c r="K201" s="139">
        <f t="shared" si="202"/>
        <v>0.5</v>
      </c>
      <c r="L201" s="139">
        <f t="shared" si="203"/>
        <v>0.5</v>
      </c>
      <c r="M201" s="139">
        <f t="shared" ref="M201:M202" si="212">if(P201&lt;&gt;0,text(P201,"+0.0"),if(B201="","",if(J201="",0.5,if(E201="NL",1,(K201+L201)))))</f>
        <v>1</v>
      </c>
      <c r="N201" s="140">
        <f t="shared" ref="N201:N209" si="213">if(G201&lt;&gt;"",if(G201&gt;$I$1,1,0),"")</f>
        <v>0</v>
      </c>
      <c r="O201" s="140">
        <f t="shared" si="206"/>
        <v>0</v>
      </c>
      <c r="P201" s="140">
        <f t="shared" si="207"/>
        <v>0</v>
      </c>
      <c r="Q201" s="140">
        <f>if(or(D201='Công T5'!$B$97,D201='Công T5'!$B$98,D201='Công T5'!$B$99,D201='Công T5'!$B$100,D201='Công T5'!$B$101),if(M201="CT",1,if(M201="C/2",0.5,M201)),0)</f>
        <v>0</v>
      </c>
      <c r="R201" s="140">
        <f t="shared" si="208"/>
        <v>0</v>
      </c>
      <c r="S201" s="144">
        <v>1.0</v>
      </c>
      <c r="T201" s="140">
        <f t="shared" si="209"/>
        <v>0</v>
      </c>
      <c r="U201" s="140"/>
      <c r="V201" s="140"/>
      <c r="W201" s="140">
        <f t="shared" si="210"/>
        <v>0</v>
      </c>
      <c r="X201" s="142">
        <f t="shared" si="211"/>
        <v>0.2458333333</v>
      </c>
      <c r="Y201" s="143"/>
    </row>
    <row r="202">
      <c r="A202" s="135">
        <v>193.0</v>
      </c>
      <c r="B202" s="135" t="s">
        <v>258</v>
      </c>
      <c r="C202" s="135" t="s">
        <v>56</v>
      </c>
      <c r="D202" s="136">
        <v>44698.0</v>
      </c>
      <c r="E202" s="135" t="str">
        <f>IFERROR(VLOOKUP(C202,'Công T5'!$C$7:$F$89,4,0),"")</f>
        <v>QS</v>
      </c>
      <c r="F202" s="137">
        <f>IFERROR(__xludf.DUMMYFUNCTION("INDEX(FILTER('Công T5'!$B$8:$C$89,'Công T5'!$C$8:$C$89=C202),1,1)"),10384.0)</f>
        <v>10384</v>
      </c>
      <c r="G202" s="138">
        <f>IFERROR(__xludf.DUMMYFUNCTION("IFERROR(INDEX(FILTER('Vân tay'!$A$5:$O330,'Vân tay'!$C$5:$C330=F202,'Vân tay'!$B$5:$B330=D202),1,10),"""")"),0.24375)</f>
        <v>0.24375</v>
      </c>
      <c r="H202" s="138">
        <f>IFERROR(__xludf.DUMMYFUNCTION("IFERROR(INDEX(FILTER('Vân tay'!$A$5:$O330,'Vân tay'!$C$5:$C330=F202,'Vân tay'!$B$5:$B330=D202),1,11),"""")"),0.7868055555555555)</f>
        <v>0.7868055556</v>
      </c>
      <c r="I202" s="138">
        <f>IFERROR(__xludf.DUMMYFUNCTION("IFERROR(INDEX(FILTER('Vân tay'!$A$5:$O330,'Vân tay'!$C$5:$C330=F202,'Vân tay'!$B$5:$B330=D202),1,14),"""")"),0.3333333333333333)</f>
        <v>0.3333333333</v>
      </c>
      <c r="J202" s="138">
        <v>0.7083333333333334</v>
      </c>
      <c r="K202" s="139">
        <f t="shared" si="202"/>
        <v>0.5</v>
      </c>
      <c r="L202" s="139">
        <f t="shared" si="203"/>
        <v>0.5</v>
      </c>
      <c r="M202" s="139">
        <f t="shared" si="212"/>
        <v>1</v>
      </c>
      <c r="N202" s="140">
        <f t="shared" si="213"/>
        <v>0</v>
      </c>
      <c r="O202" s="140">
        <f t="shared" si="206"/>
        <v>0</v>
      </c>
      <c r="P202" s="140">
        <f t="shared" si="207"/>
        <v>0</v>
      </c>
      <c r="Q202" s="140">
        <f>if(or(D202='Công T5'!$B$97,D202='Công T5'!$B$98,D202='Công T5'!$B$99,D202='Công T5'!$B$100,D202='Công T5'!$B$101),if(M202="CT",1,if(M202="C/2",0.5,M202)),0)</f>
        <v>0</v>
      </c>
      <c r="R202" s="140">
        <f t="shared" si="208"/>
        <v>0</v>
      </c>
      <c r="S202" s="144">
        <v>1.0</v>
      </c>
      <c r="T202" s="140">
        <f t="shared" si="209"/>
        <v>0</v>
      </c>
      <c r="U202" s="140"/>
      <c r="V202" s="140"/>
      <c r="W202" s="140">
        <f t="shared" si="210"/>
        <v>0</v>
      </c>
      <c r="X202" s="142">
        <f t="shared" si="211"/>
        <v>0.5041666667</v>
      </c>
      <c r="Y202" s="143"/>
    </row>
    <row r="203">
      <c r="A203" s="135">
        <v>194.0</v>
      </c>
      <c r="B203" s="135" t="s">
        <v>259</v>
      </c>
      <c r="C203" s="135" t="s">
        <v>56</v>
      </c>
      <c r="D203" s="136">
        <v>44700.0</v>
      </c>
      <c r="E203" s="135" t="str">
        <f>IFERROR(VLOOKUP(C203,'Công T5'!$C$7:$F$89,4,0),"")</f>
        <v>QS</v>
      </c>
      <c r="F203" s="137">
        <f>IFERROR(__xludf.DUMMYFUNCTION("INDEX(FILTER('Công T5'!$B$8:$C$89,'Công T5'!$C$8:$C$89=C203),1,1)"),10384.0)</f>
        <v>10384</v>
      </c>
      <c r="G203" s="138">
        <f>IFERROR(__xludf.DUMMYFUNCTION("IFERROR(INDEX(FILTER('Vân tay'!$A$5:$O330,'Vân tay'!$C$5:$C330=F203,'Vân tay'!$B$5:$B330=D203),1,10),"""")"),0.20069444444444445)</f>
        <v>0.2006944444</v>
      </c>
      <c r="H203" s="138" t="str">
        <f>IFERROR(__xludf.DUMMYFUNCTION("IFERROR(INDEX(FILTER('Vân tay'!$A$5:$O330,'Vân tay'!$C$5:$C330=F203,'Vân tay'!$B$5:$B330=D203),1,11),"""")"),"")</f>
        <v/>
      </c>
      <c r="I203" s="138">
        <f>IFERROR(__xludf.DUMMYFUNCTION("IFERROR(INDEX(FILTER('Vân tay'!$A$5:$O330,'Vân tay'!$C$5:$C330=F203,'Vân tay'!$B$5:$B330=D203),1,14),"""")"),0.3333333333333333)</f>
        <v>0.3333333333</v>
      </c>
      <c r="J203" s="138">
        <v>0.7083333333333334</v>
      </c>
      <c r="K203" s="139">
        <f t="shared" si="202"/>
        <v>0.5</v>
      </c>
      <c r="L203" s="139">
        <f t="shared" si="203"/>
        <v>0.5</v>
      </c>
      <c r="M203" s="139">
        <f t="shared" ref="M203:M204" si="214">if(B203="","",if(J203="",0.5,if(E203="NL",1,(K203+L203))))</f>
        <v>1</v>
      </c>
      <c r="N203" s="140">
        <f t="shared" si="213"/>
        <v>0</v>
      </c>
      <c r="O203" s="140">
        <f t="shared" si="206"/>
        <v>0</v>
      </c>
      <c r="P203" s="140">
        <f t="shared" si="207"/>
        <v>0</v>
      </c>
      <c r="Q203" s="140">
        <f>if(or(D203='Công T5'!$B$97,D203='Công T5'!$B$98,D203='Công T5'!$B$99,D203='Công T5'!$B$100,D203='Công T5'!$B$101),if(M203="CT",1,if(M203="C/2",0.5,M203)),0)</f>
        <v>0</v>
      </c>
      <c r="R203" s="140"/>
      <c r="S203" s="144">
        <v>1.0</v>
      </c>
      <c r="T203" s="140">
        <f t="shared" si="209"/>
        <v>0</v>
      </c>
      <c r="U203" s="140"/>
      <c r="V203" s="140"/>
      <c r="W203" s="140">
        <f t="shared" si="210"/>
        <v>0</v>
      </c>
      <c r="X203" s="142">
        <f t="shared" si="211"/>
        <v>0.3979166667</v>
      </c>
      <c r="Y203" s="143"/>
    </row>
    <row r="204">
      <c r="A204" s="135">
        <v>195.0</v>
      </c>
      <c r="B204" s="135" t="s">
        <v>259</v>
      </c>
      <c r="C204" s="135" t="s">
        <v>56</v>
      </c>
      <c r="D204" s="136">
        <v>44701.0</v>
      </c>
      <c r="E204" s="135" t="str">
        <f>IFERROR(VLOOKUP(C204,'Công T5'!$C$7:$F$89,4,0),"")</f>
        <v>QS</v>
      </c>
      <c r="F204" s="137">
        <f>IFERROR(__xludf.DUMMYFUNCTION("INDEX(FILTER('Công T5'!$B$8:$C$89,'Công T5'!$C$8:$C$89=C204),1,1)"),10384.0)</f>
        <v>10384</v>
      </c>
      <c r="G204" s="138">
        <f>IFERROR(__xludf.DUMMYFUNCTION("IFERROR(INDEX(FILTER('Vân tay'!$A$5:$O330,'Vân tay'!$C$5:$C330=F204,'Vân tay'!$B$5:$B330=D204),1,10),"""")"),0.2013888888888889)</f>
        <v>0.2013888889</v>
      </c>
      <c r="H204" s="138" t="str">
        <f>IFERROR(__xludf.DUMMYFUNCTION("IFERROR(INDEX(FILTER('Vân tay'!$A$5:$O330,'Vân tay'!$C$5:$C330=F204,'Vân tay'!$B$5:$B330=D204),1,11),"""")"),"")</f>
        <v/>
      </c>
      <c r="I204" s="138">
        <f>IFERROR(__xludf.DUMMYFUNCTION("IFERROR(INDEX(FILTER('Vân tay'!$A$5:$O330,'Vân tay'!$C$5:$C330=F204,'Vân tay'!$B$5:$B330=D204),1,14),"""")"),0.3333333333333333)</f>
        <v>0.3333333333</v>
      </c>
      <c r="J204" s="138">
        <v>0.7083333333333334</v>
      </c>
      <c r="K204" s="139">
        <f t="shared" si="202"/>
        <v>0.5</v>
      </c>
      <c r="L204" s="139">
        <f t="shared" si="203"/>
        <v>0.5</v>
      </c>
      <c r="M204" s="139">
        <f t="shared" si="214"/>
        <v>1</v>
      </c>
      <c r="N204" s="140">
        <f t="shared" si="213"/>
        <v>0</v>
      </c>
      <c r="O204" s="140">
        <f t="shared" si="206"/>
        <v>0</v>
      </c>
      <c r="P204" s="140">
        <f t="shared" si="207"/>
        <v>0</v>
      </c>
      <c r="Q204" s="140">
        <f>if(or(D204='Công T5'!$B$97,D204='Công T5'!$B$98,D204='Công T5'!$B$99,D204='Công T5'!$B$100,D204='Công T5'!$B$101),if(M204="CT",1,if(M204="C/2",0.5,M204)),0)</f>
        <v>0</v>
      </c>
      <c r="R204" s="140"/>
      <c r="S204" s="144">
        <v>1.0</v>
      </c>
      <c r="T204" s="140">
        <f t="shared" si="209"/>
        <v>0</v>
      </c>
      <c r="U204" s="140"/>
      <c r="V204" s="140"/>
      <c r="W204" s="140">
        <f t="shared" si="210"/>
        <v>0</v>
      </c>
      <c r="X204" s="142">
        <f t="shared" si="211"/>
        <v>0.3958333333</v>
      </c>
      <c r="Y204" s="143"/>
    </row>
    <row r="205">
      <c r="A205" s="135">
        <v>196.0</v>
      </c>
      <c r="B205" s="135" t="s">
        <v>258</v>
      </c>
      <c r="C205" s="135" t="s">
        <v>56</v>
      </c>
      <c r="D205" s="136">
        <v>44703.0</v>
      </c>
      <c r="E205" s="135" t="str">
        <f>IFERROR(VLOOKUP(C205,'Công T5'!$C$7:$F$89,4,0),"")</f>
        <v>QS</v>
      </c>
      <c r="F205" s="137">
        <f>IFERROR(__xludf.DUMMYFUNCTION("INDEX(FILTER('Công T5'!$B$8:$C$89,'Công T5'!$C$8:$C$89=C205),1,1)"),10384.0)</f>
        <v>10384</v>
      </c>
      <c r="G205" s="138">
        <f>IFERROR(__xludf.DUMMYFUNCTION("IFERROR(INDEX(FILTER('Vân tay'!$A$5:$O330,'Vân tay'!$C$5:$C330=F205,'Vân tay'!$B$5:$B330=D205),1,10),"""")"),0.24722222222222223)</f>
        <v>0.2472222222</v>
      </c>
      <c r="H205" s="138" t="str">
        <f>IFERROR(__xludf.DUMMYFUNCTION("IFERROR(INDEX(FILTER('Vân tay'!$A$5:$O330,'Vân tay'!$C$5:$C330=F205,'Vân tay'!$B$5:$B330=D205),1,11),"""")"),"")</f>
        <v/>
      </c>
      <c r="I205" s="138">
        <f>IFERROR(__xludf.DUMMYFUNCTION("IFERROR(INDEX(FILTER('Vân tay'!$A$5:$O330,'Vân tay'!$C$5:$C330=F205,'Vân tay'!$B$5:$B330=D205),1,14),"""")"),0.3333333333333333)</f>
        <v>0.3333333333</v>
      </c>
      <c r="J205" s="138">
        <v>0.7083333333333334</v>
      </c>
      <c r="K205" s="139">
        <f t="shared" si="202"/>
        <v>0.5</v>
      </c>
      <c r="L205" s="139">
        <f t="shared" si="203"/>
        <v>0.5</v>
      </c>
      <c r="M205" s="139">
        <f t="shared" ref="M205:M208" si="215">if(P205&lt;&gt;0,text(P205,"+0.0"),if(B205="","",if(J205="",0.5,if(E205="NL",1,(K205+L205)))))</f>
        <v>1</v>
      </c>
      <c r="N205" s="140">
        <f t="shared" si="213"/>
        <v>0</v>
      </c>
      <c r="O205" s="140">
        <f t="shared" si="206"/>
        <v>0</v>
      </c>
      <c r="P205" s="140">
        <f t="shared" si="207"/>
        <v>0</v>
      </c>
      <c r="Q205" s="140">
        <f>if(or(D205='Công T5'!$B$97,D205='Công T5'!$B$98,D205='Công T5'!$B$99,D205='Công T5'!$B$100,D205='Công T5'!$B$101),if(M205="CT",1,if(M205="C/2",0.5,M205)),0)</f>
        <v>0</v>
      </c>
      <c r="R205" s="140">
        <f>if(and(or(WEEKDAY(D205,3)&lt;5,D205=$E$1,D205=$F$1,D205=$G$1),G205&lt;$Q$1,G205&lt;&gt;""),1,0)+if(and(or(WEEKDAY(D205,3)&lt;5,D205=$E$1,D205=$F$1,D205=$G$1),H205&gt;$R$1,H205&lt;&gt;""),1,0)</f>
        <v>0</v>
      </c>
      <c r="S205" s="144">
        <v>1.0</v>
      </c>
      <c r="T205" s="140">
        <f t="shared" si="209"/>
        <v>0</v>
      </c>
      <c r="U205" s="140"/>
      <c r="V205" s="140"/>
      <c r="W205" s="140">
        <f t="shared" si="210"/>
        <v>0</v>
      </c>
      <c r="X205" s="142">
        <f t="shared" si="211"/>
        <v>0.2583333333</v>
      </c>
      <c r="Y205" s="143"/>
    </row>
    <row r="206">
      <c r="A206" s="135">
        <v>197.0</v>
      </c>
      <c r="B206" s="135" t="s">
        <v>258</v>
      </c>
      <c r="C206" s="135" t="s">
        <v>56</v>
      </c>
      <c r="D206" s="136">
        <v>44704.0</v>
      </c>
      <c r="E206" s="135" t="str">
        <f>IFERROR(VLOOKUP(C206,'Công T5'!$C$7:$F$89,4,0),"")</f>
        <v>QS</v>
      </c>
      <c r="F206" s="137">
        <f>IFERROR(__xludf.DUMMYFUNCTION("INDEX(FILTER('Công T5'!$B$8:$C$89,'Công T5'!$C$8:$C$89=C206),1,1)"),10384.0)</f>
        <v>10384</v>
      </c>
      <c r="G206" s="138">
        <f>IFERROR(__xludf.DUMMYFUNCTION("IFERROR(INDEX(FILTER('Vân tay'!$A$5:$O330,'Vân tay'!$C$5:$C330=F206,'Vân tay'!$B$5:$B330=D206),1,10),"""")"),0.22777777777777777)</f>
        <v>0.2277777778</v>
      </c>
      <c r="H206" s="138">
        <f>IFERROR(__xludf.DUMMYFUNCTION("IFERROR(INDEX(FILTER('Vân tay'!$A$5:$O330,'Vân tay'!$C$5:$C330=F206,'Vân tay'!$B$5:$B330=D206),1,11),"""")"),0.9506944444444444)</f>
        <v>0.9506944444</v>
      </c>
      <c r="I206" s="138">
        <f>IFERROR(__xludf.DUMMYFUNCTION("IFERROR(INDEX(FILTER('Vân tay'!$A$5:$O330,'Vân tay'!$C$5:$C330=F206,'Vân tay'!$B$5:$B330=D206),1,14),"""")"),0.3333333333333333)</f>
        <v>0.3333333333</v>
      </c>
      <c r="J206" s="138">
        <v>0.7083333333333334</v>
      </c>
      <c r="K206" s="139">
        <f t="shared" si="202"/>
        <v>0.5</v>
      </c>
      <c r="L206" s="139">
        <f t="shared" si="203"/>
        <v>0.5</v>
      </c>
      <c r="M206" s="139">
        <f t="shared" si="215"/>
        <v>1</v>
      </c>
      <c r="N206" s="140">
        <f t="shared" si="213"/>
        <v>0</v>
      </c>
      <c r="O206" s="140">
        <f t="shared" si="206"/>
        <v>0</v>
      </c>
      <c r="P206" s="140">
        <f t="shared" si="207"/>
        <v>0</v>
      </c>
      <c r="Q206" s="140">
        <f>if(or(D206='Công T5'!$B$97,D206='Công T5'!$B$98,D206='Công T5'!$B$99,D206='Công T5'!$B$100,D206='Công T5'!$B$101),if(M206="CT",1,if(M206="C/2",0.5,M206)),0)</f>
        <v>0</v>
      </c>
      <c r="R206" s="140"/>
      <c r="S206" s="144">
        <v>1.0</v>
      </c>
      <c r="T206" s="140">
        <f t="shared" si="209"/>
        <v>0</v>
      </c>
      <c r="U206" s="140"/>
      <c r="V206" s="140"/>
      <c r="W206" s="140">
        <f t="shared" si="210"/>
        <v>0</v>
      </c>
      <c r="X206" s="142">
        <f t="shared" si="211"/>
        <v>1.04375</v>
      </c>
      <c r="Y206" s="143"/>
    </row>
    <row r="207">
      <c r="A207" s="135">
        <v>198.0</v>
      </c>
      <c r="B207" s="135" t="s">
        <v>258</v>
      </c>
      <c r="C207" s="135" t="s">
        <v>56</v>
      </c>
      <c r="D207" s="136">
        <v>44705.0</v>
      </c>
      <c r="E207" s="135" t="str">
        <f>IFERROR(VLOOKUP(C207,'Công T5'!$C$7:$F$89,4,0),"")</f>
        <v>QS</v>
      </c>
      <c r="F207" s="137">
        <f>IFERROR(__xludf.DUMMYFUNCTION("INDEX(FILTER('Công T5'!$B$8:$C$89,'Công T5'!$C$8:$C$89=C207),1,1)"),10384.0)</f>
        <v>10384</v>
      </c>
      <c r="G207" s="138">
        <f>IFERROR(__xludf.DUMMYFUNCTION("IFERROR(INDEX(FILTER('Vân tay'!$A$5:$O330,'Vân tay'!$C$5:$C330=F207,'Vân tay'!$B$5:$B330=D207),1,10),"""")"),0.24166666666666667)</f>
        <v>0.2416666667</v>
      </c>
      <c r="H207" s="138">
        <f>IFERROR(__xludf.DUMMYFUNCTION("IFERROR(INDEX(FILTER('Vân tay'!$A$5:$O330,'Vân tay'!$C$5:$C330=F207,'Vân tay'!$B$5:$B330=D207),1,11),"""")"),0.7583333333333333)</f>
        <v>0.7583333333</v>
      </c>
      <c r="I207" s="138">
        <f>IFERROR(__xludf.DUMMYFUNCTION("IFERROR(INDEX(FILTER('Vân tay'!$A$5:$O330,'Vân tay'!$C$5:$C330=F207,'Vân tay'!$B$5:$B330=D207),1,14),"""")"),0.3333333333333333)</f>
        <v>0.3333333333</v>
      </c>
      <c r="J207" s="138">
        <v>0.7083333333333334</v>
      </c>
      <c r="K207" s="139">
        <f t="shared" si="202"/>
        <v>0.5</v>
      </c>
      <c r="L207" s="139">
        <f t="shared" si="203"/>
        <v>0.5</v>
      </c>
      <c r="M207" s="139">
        <f t="shared" si="215"/>
        <v>1</v>
      </c>
      <c r="N207" s="140">
        <f t="shared" si="213"/>
        <v>0</v>
      </c>
      <c r="O207" s="140">
        <f t="shared" si="206"/>
        <v>0</v>
      </c>
      <c r="P207" s="140">
        <f t="shared" si="207"/>
        <v>0</v>
      </c>
      <c r="Q207" s="140">
        <f>if(or(D207='Công T5'!$B$97,D207='Công T5'!$B$98,D207='Công T5'!$B$99,D207='Công T5'!$B$100,D207='Công T5'!$B$101),if(M207="CT",1,if(M207="C/2",0.5,M207)),0)</f>
        <v>0</v>
      </c>
      <c r="R207" s="140">
        <f>if(and(or(WEEKDAY(D207,3)&lt;5,D207=$E$1,D207=$F$1,D207=$G$1),G207&lt;$Q$1,G207&lt;&gt;""),1,0)+if(and(or(WEEKDAY(D207,3)&lt;5,D207=$E$1,D207=$F$1,D207=$G$1),H207&gt;$R$1,H207&lt;&gt;""),1,0)</f>
        <v>0</v>
      </c>
      <c r="S207" s="144">
        <v>1.0</v>
      </c>
      <c r="T207" s="140">
        <f t="shared" si="209"/>
        <v>0</v>
      </c>
      <c r="U207" s="140"/>
      <c r="V207" s="140"/>
      <c r="W207" s="140">
        <f t="shared" si="210"/>
        <v>0</v>
      </c>
      <c r="X207" s="142">
        <f t="shared" si="211"/>
        <v>0.425</v>
      </c>
      <c r="Y207" s="143"/>
    </row>
    <row r="208">
      <c r="A208" s="135">
        <v>199.0</v>
      </c>
      <c r="B208" s="135" t="s">
        <v>258</v>
      </c>
      <c r="C208" s="135" t="s">
        <v>56</v>
      </c>
      <c r="D208" s="136">
        <v>44706.0</v>
      </c>
      <c r="E208" s="135" t="str">
        <f>IFERROR(VLOOKUP(C208,'Công T5'!$C$7:$F$89,4,0),"")</f>
        <v>QS</v>
      </c>
      <c r="F208" s="137">
        <f>IFERROR(__xludf.DUMMYFUNCTION("INDEX(FILTER('Công T5'!$B$8:$C$89,'Công T5'!$C$8:$C$89=C208),1,1)"),10384.0)</f>
        <v>10384</v>
      </c>
      <c r="G208" s="138">
        <f>IFERROR(__xludf.DUMMYFUNCTION("IFERROR(INDEX(FILTER('Vân tay'!$A$5:$O330,'Vân tay'!$C$5:$C330=F208,'Vân tay'!$B$5:$B330=D208),1,10),"""")"),0.2375)</f>
        <v>0.2375</v>
      </c>
      <c r="H208" s="138">
        <f>IFERROR(__xludf.DUMMYFUNCTION("IFERROR(INDEX(FILTER('Vân tay'!$A$5:$O330,'Vân tay'!$C$5:$C330=F208,'Vân tay'!$B$5:$B330=D208),1,11),"""")"),0.9270833333333334)</f>
        <v>0.9270833333</v>
      </c>
      <c r="I208" s="138">
        <f>IFERROR(__xludf.DUMMYFUNCTION("IFERROR(INDEX(FILTER('Vân tay'!$A$5:$O330,'Vân tay'!$C$5:$C330=F208,'Vân tay'!$B$5:$B330=D208),1,14),"""")"),0.3333333333333333)</f>
        <v>0.3333333333</v>
      </c>
      <c r="J208" s="138">
        <v>0.7083333333333334</v>
      </c>
      <c r="K208" s="139">
        <f t="shared" si="202"/>
        <v>0.5</v>
      </c>
      <c r="L208" s="139">
        <f t="shared" si="203"/>
        <v>0.5</v>
      </c>
      <c r="M208" s="139">
        <f t="shared" si="215"/>
        <v>1</v>
      </c>
      <c r="N208" s="140">
        <f t="shared" si="213"/>
        <v>0</v>
      </c>
      <c r="O208" s="140">
        <f t="shared" si="206"/>
        <v>0</v>
      </c>
      <c r="P208" s="140">
        <f t="shared" si="207"/>
        <v>0</v>
      </c>
      <c r="Q208" s="140">
        <f>if(or(D208='Công T5'!$B$97,D208='Công T5'!$B$98,D208='Công T5'!$B$99,D208='Công T5'!$B$100,D208='Công T5'!$B$101),if(M208="CT",1,if(M208="C/2",0.5,M208)),0)</f>
        <v>0</v>
      </c>
      <c r="R208" s="140"/>
      <c r="S208" s="144">
        <v>1.0</v>
      </c>
      <c r="T208" s="140">
        <f t="shared" si="209"/>
        <v>0</v>
      </c>
      <c r="U208" s="140"/>
      <c r="V208" s="140"/>
      <c r="W208" s="140">
        <f t="shared" si="210"/>
        <v>0</v>
      </c>
      <c r="X208" s="142">
        <f t="shared" si="211"/>
        <v>0.94375</v>
      </c>
      <c r="Y208" s="143"/>
    </row>
    <row r="209">
      <c r="A209" s="135">
        <v>200.0</v>
      </c>
      <c r="B209" s="135" t="s">
        <v>260</v>
      </c>
      <c r="C209" s="135" t="s">
        <v>86</v>
      </c>
      <c r="D209" s="136">
        <v>44677.0</v>
      </c>
      <c r="E209" s="135" t="str">
        <f>IFERROR(VLOOKUP(C209,'Công T5'!$C$7:$F$89,4,0),"")</f>
        <v>TV</v>
      </c>
      <c r="F209" s="137">
        <f>IFERROR(__xludf.DUMMYFUNCTION("INDEX(FILTER('Công T5'!$B$8:$C$89,'Công T5'!$C$8:$C$89=C209),1,1)"),10009.0)</f>
        <v>10009</v>
      </c>
      <c r="G209" s="138">
        <f>IFERROR(__xludf.DUMMYFUNCTION("IFERROR(INDEX(FILTER('Vân tay'!$A$5:$O330,'Vân tay'!$C$5:$C330=F209,'Vân tay'!$B$5:$B330=D209),1,10),"""")"),0.33055555555555555)</f>
        <v>0.3305555556</v>
      </c>
      <c r="H209" s="138">
        <f>IFERROR(__xludf.DUMMYFUNCTION("IFERROR(INDEX(FILTER('Vân tay'!$A$5:$O330,'Vân tay'!$C$5:$C330=F209,'Vân tay'!$B$5:$B330=D209),1,11),"""")"),0.7618055555555555)</f>
        <v>0.7618055556</v>
      </c>
      <c r="I209" s="138">
        <f>IFERROR(__xludf.DUMMYFUNCTION("IFERROR(INDEX(FILTER('Vân tay'!$A$5:$O330,'Vân tay'!$C$5:$C330=F209,'Vân tay'!$B$5:$B330=D209),1,14),"""")"),0.3333333333333333)</f>
        <v>0.3333333333</v>
      </c>
      <c r="J209" s="138">
        <f>IFERROR(__xludf.DUMMYFUNCTION("IFERROR(INDEX(FILTER('Vân tay'!$A$5:$O330,'Vân tay'!$C$5:$C330=F209,'Vân tay'!$B$5:$B330=D209),1,15),"""")"),0.7083333333333334)</f>
        <v>0.7083333333</v>
      </c>
      <c r="K209" s="139">
        <f t="shared" si="202"/>
        <v>0.5</v>
      </c>
      <c r="L209" s="139">
        <f t="shared" si="203"/>
        <v>0.5</v>
      </c>
      <c r="M209" s="139">
        <f>if(B209="","",if(J209="",0.5,if(E209="NL",1,(K209+L209))))</f>
        <v>1</v>
      </c>
      <c r="N209" s="140">
        <f t="shared" si="213"/>
        <v>0</v>
      </c>
      <c r="O209" s="140">
        <f t="shared" si="206"/>
        <v>0</v>
      </c>
      <c r="P209" s="140">
        <f t="shared" si="207"/>
        <v>0</v>
      </c>
      <c r="Q209" s="140">
        <f>if(or(D209='Công T5'!$B$97,D209='Công T5'!$B$98,D209='Công T5'!$B$99,D209='Công T5'!$B$100,D209='Công T5'!$B$101),if(M209="CT",1,if(M209="C/2",0.5,M209)),0)</f>
        <v>0</v>
      </c>
      <c r="R209" s="140">
        <f>if(and(or(WEEKDAY(D209,3)&lt;5,D209=$E$1,D209=$F$1,D209=$G$1),G209&lt;$Q$1,G209&lt;&gt;""),1,0)+if(and(or(WEEKDAY(D209,3)&lt;5,D209=$E$1,D209=$F$1,D209=$G$1),H209&gt;$R$1,H209&lt;&gt;""),1,0)</f>
        <v>0</v>
      </c>
      <c r="S209" s="141">
        <f>if(and(WEEKDAY(D209,3)&gt;4,D209&lt;&gt;$E$1,D209&lt;&gt;$F$1,D209&lt;&gt;$G$1,G209&lt;$Q$1,G209&lt;&gt;""),1,0)+if(and(WEEKDAY(D209,3)&gt;4,D209&lt;&gt;$E$1,D209&lt;&gt;$F$1,D209&lt;&gt;$G$1,H209&gt;$R$1,H209&lt;&gt;""),1,0)</f>
        <v>0</v>
      </c>
      <c r="T209" s="140">
        <f t="shared" si="209"/>
        <v>0</v>
      </c>
      <c r="U209" s="140"/>
      <c r="V209" s="140"/>
      <c r="W209" s="140">
        <f t="shared" si="210"/>
        <v>0</v>
      </c>
      <c r="X209" s="142">
        <f t="shared" si="211"/>
        <v>0.16875</v>
      </c>
      <c r="Y209" s="143"/>
    </row>
    <row r="210">
      <c r="A210" s="135">
        <v>201.0</v>
      </c>
      <c r="B210" s="135" t="s">
        <v>187</v>
      </c>
      <c r="C210" s="135" t="s">
        <v>86</v>
      </c>
      <c r="D210" s="136">
        <v>44681.0</v>
      </c>
      <c r="E210" s="135" t="str">
        <f>IFERROR(VLOOKUP(C210,'Công T5'!$C$7:$F$89,4,0),"")</f>
        <v>TV</v>
      </c>
      <c r="F210" s="137">
        <f>IFERROR(__xludf.DUMMYFUNCTION("INDEX(FILTER('Công T5'!$B$8:$C$89,'Công T5'!$C$8:$C$89=C210),1,1)"),10009.0)</f>
        <v>10009</v>
      </c>
      <c r="G210" s="138"/>
      <c r="H210" s="138"/>
      <c r="I210" s="138"/>
      <c r="J210" s="138"/>
      <c r="K210" s="139"/>
      <c r="L210" s="139"/>
      <c r="M210" s="139" t="s">
        <v>43</v>
      </c>
      <c r="N210" s="140"/>
      <c r="O210" s="140"/>
      <c r="P210" s="140"/>
      <c r="Q210" s="140"/>
      <c r="R210" s="140"/>
      <c r="S210" s="141"/>
      <c r="T210" s="140"/>
      <c r="U210" s="140"/>
      <c r="V210" s="140"/>
      <c r="W210" s="140"/>
      <c r="X210" s="142"/>
      <c r="Y210" s="143"/>
    </row>
    <row r="211">
      <c r="A211" s="135">
        <v>202.0</v>
      </c>
      <c r="B211" s="135" t="s">
        <v>187</v>
      </c>
      <c r="C211" s="135" t="s">
        <v>86</v>
      </c>
      <c r="D211" s="136">
        <v>44682.0</v>
      </c>
      <c r="E211" s="135" t="str">
        <f>IFERROR(VLOOKUP(C211,'Công T5'!$C$7:$F$89,4,0),"")</f>
        <v>TV</v>
      </c>
      <c r="F211" s="137">
        <f>IFERROR(__xludf.DUMMYFUNCTION("INDEX(FILTER('Công T5'!$B$8:$C$89,'Công T5'!$C$8:$C$89=C211),1,1)"),10009.0)</f>
        <v>10009</v>
      </c>
      <c r="G211" s="138"/>
      <c r="H211" s="138"/>
      <c r="I211" s="138"/>
      <c r="J211" s="138"/>
      <c r="K211" s="139"/>
      <c r="L211" s="139"/>
      <c r="M211" s="139" t="s">
        <v>43</v>
      </c>
      <c r="N211" s="140"/>
      <c r="O211" s="140"/>
      <c r="P211" s="140"/>
      <c r="Q211" s="140"/>
      <c r="R211" s="140"/>
      <c r="S211" s="141"/>
      <c r="T211" s="140"/>
      <c r="U211" s="140"/>
      <c r="V211" s="140"/>
      <c r="W211" s="140"/>
      <c r="X211" s="142"/>
      <c r="Y211" s="143"/>
    </row>
    <row r="212">
      <c r="A212" s="135">
        <v>203.0</v>
      </c>
      <c r="B212" s="135" t="s">
        <v>261</v>
      </c>
      <c r="C212" s="135" t="s">
        <v>86</v>
      </c>
      <c r="D212" s="136">
        <v>44685.0</v>
      </c>
      <c r="E212" s="135" t="str">
        <f>IFERROR(VLOOKUP(C212,'Công T5'!$C$7:$F$89,4,0),"")</f>
        <v>TV</v>
      </c>
      <c r="F212" s="137">
        <f>IFERROR(__xludf.DUMMYFUNCTION("INDEX(FILTER('Công T5'!$B$8:$C$89,'Công T5'!$C$8:$C$89=C212),1,1)"),10009.0)</f>
        <v>10009</v>
      </c>
      <c r="G212" s="138">
        <f>IFERROR(__xludf.DUMMYFUNCTION("IFERROR(INDEX(FILTER('Vân tay'!$A$5:$O330,'Vân tay'!$C$5:$C330=F212,'Vân tay'!$B$5:$B330=D212),1,10),"""")"),0.33125)</f>
        <v>0.33125</v>
      </c>
      <c r="H212" s="138">
        <f>IFERROR(__xludf.DUMMYFUNCTION("IFERROR(INDEX(FILTER('Vân tay'!$A$5:$O330,'Vân tay'!$C$5:$C330=F212,'Vân tay'!$B$5:$B330=D212),1,11),"""")"),0.7631944444444444)</f>
        <v>0.7631944444</v>
      </c>
      <c r="I212" s="138">
        <f>IFERROR(__xludf.DUMMYFUNCTION("IFERROR(INDEX(FILTER('Vân tay'!$A$5:$O330,'Vân tay'!$C$5:$C330=F212,'Vân tay'!$B$5:$B330=D212),1,14),"""")"),0.3333333333333333)</f>
        <v>0.3333333333</v>
      </c>
      <c r="J212" s="138">
        <f>IFERROR(__xludf.DUMMYFUNCTION("IFERROR(INDEX(FILTER('Vân tay'!$A$5:$O330,'Vân tay'!$C$5:$C330=F212,'Vân tay'!$B$5:$B330=D212),1,15),"""")"),0.7083333333333334)</f>
        <v>0.7083333333</v>
      </c>
      <c r="K212" s="139">
        <f t="shared" ref="K212:K217" si="216">if(B212="","",if(J212&lt;&gt;"",if(I212&lt;$L$1,if(J212&lt;$L$1,J212-I212,$L$1-I212),0),"")*24/8)</f>
        <v>0.5</v>
      </c>
      <c r="L212" s="139">
        <f t="shared" ref="L212:L217" si="217">if(I212="","",if(J212="","",if(J212&gt;$M$1,if(I212&lt;$M$1,J212-$M$1,J212-I212)*24/8,"")))</f>
        <v>0.5</v>
      </c>
      <c r="M212" s="139">
        <f t="shared" ref="M212:M217" si="218">if(B212="","",if(J212="",0.5,if(E212="NL",1,(K212+L212))))</f>
        <v>1</v>
      </c>
      <c r="N212" s="140">
        <f>if(G212&lt;&gt;"",if(G212&gt;$I$1,1,0),"")</f>
        <v>0</v>
      </c>
      <c r="O212" s="140">
        <f t="shared" ref="O212:O217" si="219">if(B212&lt;&gt;"",if(OR(J212="",M212=""),1,0),"")</f>
        <v>0</v>
      </c>
      <c r="P212" s="140">
        <f t="shared" ref="P212:P217" si="220">if(Y212="làm thêm ngày thường",X212,if(Y212="làm thêm T7, CN",M212,0))</f>
        <v>0</v>
      </c>
      <c r="Q212" s="140">
        <f>if(or(D212='Công T5'!$B$97,D212='Công T5'!$B$98,D212='Công T5'!$B$99,D212='Công T5'!$B$100,D212='Công T5'!$B$101),if(M212="CT",1,if(M212="C/2",0.5,M212)),0)</f>
        <v>0</v>
      </c>
      <c r="R212" s="140">
        <f t="shared" ref="R212:R217" si="221">if(and(or(WEEKDAY(D212,3)&lt;5,D212=$E$1,D212=$F$1,D212=$G$1),G212&lt;$Q$1,G212&lt;&gt;""),1,0)+if(and(or(WEEKDAY(D212,3)&lt;5,D212=$E$1,D212=$F$1,D212=$G$1),H212&gt;$R$1,H212&lt;&gt;""),1,0)</f>
        <v>0</v>
      </c>
      <c r="S212" s="141">
        <f t="shared" ref="S212:S217" si="222">if(and(WEEKDAY(D212,3)&gt;4,D212&lt;&gt;$E$1,D212&lt;&gt;$F$1,D212&lt;&gt;$G$1,G212&lt;$Q$1,G212&lt;&gt;""),1,0)+if(and(WEEKDAY(D212,3)&gt;4,D212&lt;&gt;$E$1,D212&lt;&gt;$F$1,D212&lt;&gt;$G$1,H212&gt;$R$1,H212&lt;&gt;""),1,0)</f>
        <v>0</v>
      </c>
      <c r="T212" s="140">
        <f t="shared" ref="T212:T217" si="223">if(and(E212="ĐT",H212&lt;&gt;"",H212&gt;$R$1),1,0)</f>
        <v>0</v>
      </c>
      <c r="U212" s="140"/>
      <c r="V212" s="140"/>
      <c r="W212" s="140">
        <f t="shared" ref="W212:W217" si="224">if(E212="LX",if(and(G212&lt;$S$1,H212&gt;$T$1,M212&lt;&gt;1,M212&lt;&gt;"CT"),1,""),"")+if(E212="LX",if(and(G212&lt;$U$1,H212&gt;$V$1),1,""),"")</f>
        <v>0</v>
      </c>
      <c r="X212" s="142">
        <f t="shared" ref="X212:X217" si="225">if(B212="","",(if($I$1-G212&gt;0,$I$1-G212,0)+if(H212-$N$1&gt;0,H212-$N$1,0))*24/8)</f>
        <v>0.1708333333</v>
      </c>
      <c r="Y212" s="143"/>
    </row>
    <row r="213">
      <c r="A213" s="135">
        <v>204.0</v>
      </c>
      <c r="B213" s="135" t="s">
        <v>262</v>
      </c>
      <c r="C213" s="135" t="s">
        <v>86</v>
      </c>
      <c r="D213" s="136">
        <v>44691.0</v>
      </c>
      <c r="E213" s="135" t="str">
        <f>IFERROR(VLOOKUP(C213,'Công T5'!$C$7:$F$89,4,0),"")</f>
        <v>TV</v>
      </c>
      <c r="F213" s="137">
        <f>IFERROR(__xludf.DUMMYFUNCTION("INDEX(FILTER('Công T5'!$B$8:$C$89,'Công T5'!$C$8:$C$89=C213),1,1)"),10009.0)</f>
        <v>10009</v>
      </c>
      <c r="G213" s="138">
        <f>IFERROR(__xludf.DUMMYFUNCTION("IFERROR(INDEX(FILTER('Vân tay'!$A$5:$O330,'Vân tay'!$C$5:$C330=F213,'Vân tay'!$B$5:$B330=D213),1,10),"""")"),0.3375)</f>
        <v>0.3375</v>
      </c>
      <c r="H213" s="138">
        <f>IFERROR(__xludf.DUMMYFUNCTION("IFERROR(INDEX(FILTER('Vân tay'!$A$5:$O330,'Vân tay'!$C$5:$C330=F213,'Vân tay'!$B$5:$B330=D213),1,11),"""")"),0.75625)</f>
        <v>0.75625</v>
      </c>
      <c r="I213" s="138">
        <f>IFERROR(__xludf.DUMMYFUNCTION("IFERROR(INDEX(FILTER('Vân tay'!$A$5:$O330,'Vân tay'!$C$5:$C330=F213,'Vân tay'!$B$5:$B330=D213),1,14),"""")"),0.3333333333333333)</f>
        <v>0.3333333333</v>
      </c>
      <c r="J213" s="138">
        <f>IFERROR(__xludf.DUMMYFUNCTION("IFERROR(INDEX(FILTER('Vân tay'!$A$5:$O330,'Vân tay'!$C$5:$C330=F213,'Vân tay'!$B$5:$B330=D213),1,15),"""")"),0.7083333333333334)</f>
        <v>0.7083333333</v>
      </c>
      <c r="K213" s="139">
        <f t="shared" si="216"/>
        <v>0.5</v>
      </c>
      <c r="L213" s="139">
        <f t="shared" si="217"/>
        <v>0.5</v>
      </c>
      <c r="M213" s="139">
        <f t="shared" si="218"/>
        <v>1</v>
      </c>
      <c r="N213" s="140"/>
      <c r="O213" s="140">
        <f t="shared" si="219"/>
        <v>0</v>
      </c>
      <c r="P213" s="140">
        <f t="shared" si="220"/>
        <v>0</v>
      </c>
      <c r="Q213" s="140">
        <f>if(or(D213='Công T5'!$B$97,D213='Công T5'!$B$98,D213='Công T5'!$B$99,D213='Công T5'!$B$100,D213='Công T5'!$B$101),if(M213="CT",1,if(M213="C/2",0.5,M213)),0)</f>
        <v>0</v>
      </c>
      <c r="R213" s="140">
        <f t="shared" si="221"/>
        <v>0</v>
      </c>
      <c r="S213" s="141">
        <f t="shared" si="222"/>
        <v>0</v>
      </c>
      <c r="T213" s="140">
        <f t="shared" si="223"/>
        <v>0</v>
      </c>
      <c r="U213" s="140"/>
      <c r="V213" s="140"/>
      <c r="W213" s="140">
        <f t="shared" si="224"/>
        <v>0</v>
      </c>
      <c r="X213" s="142">
        <f t="shared" si="225"/>
        <v>0.14375</v>
      </c>
      <c r="Y213" s="143"/>
    </row>
    <row r="214">
      <c r="A214" s="135">
        <v>205.0</v>
      </c>
      <c r="B214" s="135" t="s">
        <v>263</v>
      </c>
      <c r="C214" s="135" t="s">
        <v>86</v>
      </c>
      <c r="D214" s="136">
        <v>44697.0</v>
      </c>
      <c r="E214" s="135" t="str">
        <f>IFERROR(VLOOKUP(C214,'Công T5'!$C$7:$F$89,4,0),"")</f>
        <v>TV</v>
      </c>
      <c r="F214" s="137">
        <f>IFERROR(__xludf.DUMMYFUNCTION("INDEX(FILTER('Công T5'!$B$8:$C$89,'Công T5'!$C$8:$C$89=C214),1,1)"),10009.0)</f>
        <v>10009</v>
      </c>
      <c r="G214" s="138">
        <f>IFERROR(__xludf.DUMMYFUNCTION("IFERROR(INDEX(FILTER('Vân tay'!$A$5:$O330,'Vân tay'!$C$5:$C330=F214,'Vân tay'!$B$5:$B330=D214),1,10),"""")"),0.3416666666666667)</f>
        <v>0.3416666667</v>
      </c>
      <c r="H214" s="138">
        <f>IFERROR(__xludf.DUMMYFUNCTION("IFERROR(INDEX(FILTER('Vân tay'!$A$5:$O330,'Vân tay'!$C$5:$C330=F214,'Vân tay'!$B$5:$B330=D214),1,11),"""")"),0.7597222222222222)</f>
        <v>0.7597222222</v>
      </c>
      <c r="I214" s="138">
        <f>IFERROR(__xludf.DUMMYFUNCTION("IFERROR(INDEX(FILTER('Vân tay'!$A$5:$O330,'Vân tay'!$C$5:$C330=F214,'Vân tay'!$B$5:$B330=D214),1,14),"""")"),0.3333333333333333)</f>
        <v>0.3333333333</v>
      </c>
      <c r="J214" s="138">
        <f>IFERROR(__xludf.DUMMYFUNCTION("IFERROR(INDEX(FILTER('Vân tay'!$A$5:$O330,'Vân tay'!$C$5:$C330=F214,'Vân tay'!$B$5:$B330=D214),1,15),"""")"),0.7083333333333334)</f>
        <v>0.7083333333</v>
      </c>
      <c r="K214" s="139">
        <f t="shared" si="216"/>
        <v>0.5</v>
      </c>
      <c r="L214" s="139">
        <f t="shared" si="217"/>
        <v>0.5</v>
      </c>
      <c r="M214" s="139">
        <f t="shared" si="218"/>
        <v>1</v>
      </c>
      <c r="N214" s="140"/>
      <c r="O214" s="140">
        <f t="shared" si="219"/>
        <v>0</v>
      </c>
      <c r="P214" s="140">
        <f t="shared" si="220"/>
        <v>0</v>
      </c>
      <c r="Q214" s="140">
        <f>if(or(D214='Công T5'!$B$97,D214='Công T5'!$B$98,D214='Công T5'!$B$99,D214='Công T5'!$B$100,D214='Công T5'!$B$101),if(M214="CT",1,if(M214="C/2",0.5,M214)),0)</f>
        <v>0</v>
      </c>
      <c r="R214" s="140">
        <f t="shared" si="221"/>
        <v>0</v>
      </c>
      <c r="S214" s="141">
        <f t="shared" si="222"/>
        <v>0</v>
      </c>
      <c r="T214" s="140">
        <f t="shared" si="223"/>
        <v>0</v>
      </c>
      <c r="U214" s="140"/>
      <c r="V214" s="140"/>
      <c r="W214" s="140">
        <f t="shared" si="224"/>
        <v>0</v>
      </c>
      <c r="X214" s="142">
        <f t="shared" si="225"/>
        <v>0.1541666667</v>
      </c>
      <c r="Y214" s="143"/>
    </row>
    <row r="215">
      <c r="A215" s="135">
        <v>206.0</v>
      </c>
      <c r="B215" s="135" t="s">
        <v>264</v>
      </c>
      <c r="C215" s="135" t="s">
        <v>86</v>
      </c>
      <c r="D215" s="136">
        <v>44701.0</v>
      </c>
      <c r="E215" s="135" t="str">
        <f>IFERROR(VLOOKUP(C215,'Công T5'!$C$7:$F$89,4,0),"")</f>
        <v>TV</v>
      </c>
      <c r="F215" s="137">
        <f>IFERROR(__xludf.DUMMYFUNCTION("INDEX(FILTER('Công T5'!$B$8:$C$89,'Công T5'!$C$8:$C$89=C215),1,1)"),10009.0)</f>
        <v>10009</v>
      </c>
      <c r="G215" s="138">
        <f>IFERROR(__xludf.DUMMYFUNCTION("IFERROR(INDEX(FILTER('Vân tay'!$A$5:$O330,'Vân tay'!$C$5:$C330=F215,'Vân tay'!$B$5:$B330=D215),1,10),"""")"),0.33819444444444446)</f>
        <v>0.3381944444</v>
      </c>
      <c r="H215" s="138">
        <f>IFERROR(__xludf.DUMMYFUNCTION("IFERROR(INDEX(FILTER('Vân tay'!$A$5:$O330,'Vân tay'!$C$5:$C330=F215,'Vân tay'!$B$5:$B330=D215),1,11),"""")"),0.75625)</f>
        <v>0.75625</v>
      </c>
      <c r="I215" s="138">
        <f>IFERROR(__xludf.DUMMYFUNCTION("IFERROR(INDEX(FILTER('Vân tay'!$A$5:$O330,'Vân tay'!$C$5:$C330=F215,'Vân tay'!$B$5:$B330=D215),1,14),"""")"),0.3333333333333333)</f>
        <v>0.3333333333</v>
      </c>
      <c r="J215" s="138">
        <f>IFERROR(__xludf.DUMMYFUNCTION("IFERROR(INDEX(FILTER('Vân tay'!$A$5:$O330,'Vân tay'!$C$5:$C330=F215,'Vân tay'!$B$5:$B330=D215),1,15),"""")"),0.7083333333333334)</f>
        <v>0.7083333333</v>
      </c>
      <c r="K215" s="139">
        <f t="shared" si="216"/>
        <v>0.5</v>
      </c>
      <c r="L215" s="139">
        <f t="shared" si="217"/>
        <v>0.5</v>
      </c>
      <c r="M215" s="139">
        <f t="shared" si="218"/>
        <v>1</v>
      </c>
      <c r="N215" s="140"/>
      <c r="O215" s="140">
        <f t="shared" si="219"/>
        <v>0</v>
      </c>
      <c r="P215" s="140">
        <f t="shared" si="220"/>
        <v>0</v>
      </c>
      <c r="Q215" s="140">
        <f>if(or(D215='Công T5'!$B$97,D215='Công T5'!$B$98,D215='Công T5'!$B$99,D215='Công T5'!$B$100,D215='Công T5'!$B$101),if(M215="CT",1,if(M215="C/2",0.5,M215)),0)</f>
        <v>0</v>
      </c>
      <c r="R215" s="140">
        <f t="shared" si="221"/>
        <v>0</v>
      </c>
      <c r="S215" s="141">
        <f t="shared" si="222"/>
        <v>0</v>
      </c>
      <c r="T215" s="140">
        <f t="shared" si="223"/>
        <v>0</v>
      </c>
      <c r="U215" s="140"/>
      <c r="V215" s="140"/>
      <c r="W215" s="140">
        <f t="shared" si="224"/>
        <v>0</v>
      </c>
      <c r="X215" s="142">
        <f t="shared" si="225"/>
        <v>0.14375</v>
      </c>
      <c r="Y215" s="143"/>
    </row>
    <row r="216">
      <c r="A216" s="135">
        <v>207.0</v>
      </c>
      <c r="B216" s="135" t="s">
        <v>265</v>
      </c>
      <c r="C216" s="135" t="s">
        <v>86</v>
      </c>
      <c r="D216" s="136">
        <v>44702.0</v>
      </c>
      <c r="E216" s="135" t="str">
        <f>IFERROR(VLOOKUP(C216,'Công T5'!$C$7:$F$89,4,0),"")</f>
        <v>TV</v>
      </c>
      <c r="F216" s="137">
        <f>IFERROR(__xludf.DUMMYFUNCTION("INDEX(FILTER('Công T5'!$B$8:$C$89,'Công T5'!$C$8:$C$89=C216),1,1)"),10009.0)</f>
        <v>10009</v>
      </c>
      <c r="G216" s="138">
        <f>IFERROR(__xludf.DUMMYFUNCTION("IFERROR(INDEX(FILTER('Vân tay'!$A$5:$O330,'Vân tay'!$C$5:$C330=F216,'Vân tay'!$B$5:$B330=D216),1,10),"""")"),0.33194444444444443)</f>
        <v>0.3319444444</v>
      </c>
      <c r="H216" s="138">
        <f>IFERROR(__xludf.DUMMYFUNCTION("IFERROR(INDEX(FILTER('Vân tay'!$A$5:$O330,'Vân tay'!$C$5:$C330=F216,'Vân tay'!$B$5:$B330=D216),1,11),"""")"),0.7215277777777778)</f>
        <v>0.7215277778</v>
      </c>
      <c r="I216" s="138">
        <v>0.3333333333333333</v>
      </c>
      <c r="J216" s="138">
        <f>IFERROR(__xludf.DUMMYFUNCTION("IFERROR(INDEX(FILTER('Vân tay'!$A$5:$O330,'Vân tay'!$C$5:$C330=F216,'Vân tay'!$B$5:$B330=D216),1,15),"""")"),0.7083333333333334)</f>
        <v>0.7083333333</v>
      </c>
      <c r="K216" s="139">
        <f t="shared" si="216"/>
        <v>0.5</v>
      </c>
      <c r="L216" s="139">
        <f t="shared" si="217"/>
        <v>0.5</v>
      </c>
      <c r="M216" s="139">
        <f t="shared" si="218"/>
        <v>1</v>
      </c>
      <c r="N216" s="140"/>
      <c r="O216" s="140">
        <f t="shared" si="219"/>
        <v>0</v>
      </c>
      <c r="P216" s="140">
        <f t="shared" si="220"/>
        <v>0</v>
      </c>
      <c r="Q216" s="140">
        <f>if(or(D216='Công T5'!$B$97,D216='Công T5'!$B$98,D216='Công T5'!$B$99,D216='Công T5'!$B$100,D216='Công T5'!$B$101),if(M216="CT",1,if(M216="C/2",0.5,M216)),0)</f>
        <v>0</v>
      </c>
      <c r="R216" s="140">
        <f t="shared" si="221"/>
        <v>0</v>
      </c>
      <c r="S216" s="141">
        <f t="shared" si="222"/>
        <v>0</v>
      </c>
      <c r="T216" s="140">
        <f t="shared" si="223"/>
        <v>0</v>
      </c>
      <c r="U216" s="140"/>
      <c r="V216" s="140"/>
      <c r="W216" s="140">
        <f t="shared" si="224"/>
        <v>0</v>
      </c>
      <c r="X216" s="142">
        <f t="shared" si="225"/>
        <v>0.04375</v>
      </c>
      <c r="Y216" s="143"/>
    </row>
    <row r="217">
      <c r="A217" s="135">
        <v>208.0</v>
      </c>
      <c r="B217" s="135" t="s">
        <v>266</v>
      </c>
      <c r="C217" s="135" t="s">
        <v>89</v>
      </c>
      <c r="D217" s="136">
        <v>44677.0</v>
      </c>
      <c r="E217" s="135" t="str">
        <f>IFERROR(VLOOKUP(C217,'Công T5'!$C$7:$F$89,4,0),"")</f>
        <v>TV</v>
      </c>
      <c r="F217" s="137">
        <f>IFERROR(__xludf.DUMMYFUNCTION("INDEX(FILTER('Công T5'!$B$8:$C$89,'Công T5'!$C$8:$C$89=C217),1,1)"),10025.0)</f>
        <v>10025</v>
      </c>
      <c r="G217" s="138">
        <f>IFERROR(__xludf.DUMMYFUNCTION("IFERROR(INDEX(FILTER('Vân tay'!$A$5:$O330,'Vân tay'!$C$5:$C330=F217,'Vân tay'!$B$5:$B330=D217),1,10),"""")"),0.4618055555555556)</f>
        <v>0.4618055556</v>
      </c>
      <c r="H217" s="138">
        <f>IFERROR(__xludf.DUMMYFUNCTION("IFERROR(INDEX(FILTER('Vân tay'!$A$5:$O330,'Vân tay'!$C$5:$C330=F217,'Vân tay'!$B$5:$B330=D217),1,11),"""")"),0.6847222222222222)</f>
        <v>0.6847222222</v>
      </c>
      <c r="I217" s="138">
        <v>0.3333333333333333</v>
      </c>
      <c r="J217" s="138">
        <v>0.7083333333333334</v>
      </c>
      <c r="K217" s="139">
        <f t="shared" si="216"/>
        <v>0.5</v>
      </c>
      <c r="L217" s="139">
        <f t="shared" si="217"/>
        <v>0.5</v>
      </c>
      <c r="M217" s="139">
        <f t="shared" si="218"/>
        <v>1</v>
      </c>
      <c r="N217" s="140"/>
      <c r="O217" s="140">
        <f t="shared" si="219"/>
        <v>0</v>
      </c>
      <c r="P217" s="140">
        <f t="shared" si="220"/>
        <v>0</v>
      </c>
      <c r="Q217" s="140">
        <f>if(or(D217='Công T5'!$B$97,D217='Công T5'!$B$98,D217='Công T5'!$B$99,D217='Công T5'!$B$100,D217='Công T5'!$B$101),if(M217="CT",1,if(M217="C/2",0.5,M217)),0)</f>
        <v>0</v>
      </c>
      <c r="R217" s="140">
        <f t="shared" si="221"/>
        <v>0</v>
      </c>
      <c r="S217" s="141">
        <f t="shared" si="222"/>
        <v>0</v>
      </c>
      <c r="T217" s="140">
        <f t="shared" si="223"/>
        <v>0</v>
      </c>
      <c r="U217" s="140"/>
      <c r="V217" s="140"/>
      <c r="W217" s="140">
        <f t="shared" si="224"/>
        <v>0</v>
      </c>
      <c r="X217" s="142">
        <f t="shared" si="225"/>
        <v>0</v>
      </c>
      <c r="Y217" s="143"/>
    </row>
    <row r="218">
      <c r="A218" s="135">
        <v>209.0</v>
      </c>
      <c r="B218" s="135" t="s">
        <v>187</v>
      </c>
      <c r="C218" s="135" t="s">
        <v>89</v>
      </c>
      <c r="D218" s="136">
        <v>44681.0</v>
      </c>
      <c r="E218" s="135" t="str">
        <f>IFERROR(VLOOKUP(C218,'Công T5'!$C$7:$F$89,4,0),"")</f>
        <v>TV</v>
      </c>
      <c r="F218" s="137">
        <f>IFERROR(__xludf.DUMMYFUNCTION("INDEX(FILTER('Công T5'!$B$8:$C$89,'Công T5'!$C$8:$C$89=C218),1,1)"),10025.0)</f>
        <v>10025</v>
      </c>
      <c r="G218" s="138"/>
      <c r="H218" s="138"/>
      <c r="I218" s="138"/>
      <c r="J218" s="138"/>
      <c r="K218" s="139"/>
      <c r="L218" s="139"/>
      <c r="M218" s="139" t="s">
        <v>43</v>
      </c>
      <c r="N218" s="140"/>
      <c r="O218" s="140"/>
      <c r="P218" s="140"/>
      <c r="Q218" s="140"/>
      <c r="R218" s="140"/>
      <c r="S218" s="141"/>
      <c r="T218" s="140"/>
      <c r="U218" s="140"/>
      <c r="V218" s="140"/>
      <c r="W218" s="140"/>
      <c r="X218" s="142"/>
      <c r="Y218" s="143"/>
    </row>
    <row r="219">
      <c r="A219" s="135">
        <v>210.0</v>
      </c>
      <c r="B219" s="135" t="s">
        <v>187</v>
      </c>
      <c r="C219" s="135" t="s">
        <v>89</v>
      </c>
      <c r="D219" s="136">
        <v>44682.0</v>
      </c>
      <c r="E219" s="135" t="str">
        <f>IFERROR(VLOOKUP(C219,'Công T5'!$C$7:$F$89,4,0),"")</f>
        <v>TV</v>
      </c>
      <c r="F219" s="137">
        <f>IFERROR(__xludf.DUMMYFUNCTION("INDEX(FILTER('Công T5'!$B$8:$C$89,'Công T5'!$C$8:$C$89=C219),1,1)"),10025.0)</f>
        <v>10025</v>
      </c>
      <c r="G219" s="138"/>
      <c r="H219" s="138"/>
      <c r="I219" s="138"/>
      <c r="J219" s="138"/>
      <c r="K219" s="139"/>
      <c r="L219" s="139"/>
      <c r="M219" s="139" t="s">
        <v>43</v>
      </c>
      <c r="N219" s="140"/>
      <c r="O219" s="140"/>
      <c r="P219" s="140"/>
      <c r="Q219" s="140"/>
      <c r="R219" s="140"/>
      <c r="S219" s="141"/>
      <c r="T219" s="140"/>
      <c r="U219" s="140"/>
      <c r="V219" s="140"/>
      <c r="W219" s="140"/>
      <c r="X219" s="142"/>
      <c r="Y219" s="143"/>
    </row>
    <row r="220">
      <c r="A220" s="135">
        <v>211.0</v>
      </c>
      <c r="B220" s="135" t="s">
        <v>267</v>
      </c>
      <c r="C220" s="135" t="s">
        <v>89</v>
      </c>
      <c r="D220" s="136">
        <v>44687.0</v>
      </c>
      <c r="E220" s="135" t="str">
        <f>IFERROR(VLOOKUP(C220,'Công T5'!$C$7:$F$89,4,0),"")</f>
        <v>TV</v>
      </c>
      <c r="F220" s="137">
        <f>IFERROR(__xludf.DUMMYFUNCTION("INDEX(FILTER('Công T5'!$B$8:$C$89,'Công T5'!$C$8:$C$89=C220),1,1)"),10025.0)</f>
        <v>10025</v>
      </c>
      <c r="G220" s="138">
        <f>IFERROR(__xludf.DUMMYFUNCTION("IFERROR(INDEX(FILTER('Vân tay'!$A$5:$O330,'Vân tay'!$C$5:$C330=F220,'Vân tay'!$B$5:$B330=D220),1,10),"""")"),0.33125)</f>
        <v>0.33125</v>
      </c>
      <c r="H220" s="138">
        <f>IFERROR(__xludf.DUMMYFUNCTION("IFERROR(INDEX(FILTER('Vân tay'!$A$5:$O330,'Vân tay'!$C$5:$C330=F220,'Vân tay'!$B$5:$B330=D220),1,11),"""")"),0.5756944444444444)</f>
        <v>0.5756944444</v>
      </c>
      <c r="I220" s="138">
        <f>IFERROR(__xludf.DUMMYFUNCTION("IFERROR(INDEX(FILTER('Vân tay'!$A$5:$O330,'Vân tay'!$C$5:$C330=F220,'Vân tay'!$B$5:$B330=D220),1,14),"""")"),0.3333333333333333)</f>
        <v>0.3333333333</v>
      </c>
      <c r="J220" s="138">
        <v>0.7083333333333334</v>
      </c>
      <c r="K220" s="139">
        <f t="shared" ref="K220:K222" si="226">if(B220="","",if(J220&lt;&gt;"",if(I220&lt;$L$1,if(J220&lt;$L$1,J220-I220,$L$1-I220),0),"")*24/8)</f>
        <v>0.5</v>
      </c>
      <c r="L220" s="139">
        <f t="shared" ref="L220:L222" si="227">if(I220="","",if(J220="","",if(J220&gt;$M$1,if(I220&lt;$M$1,J220-$M$1,J220-I220)*24/8,"")))</f>
        <v>0.5</v>
      </c>
      <c r="M220" s="139">
        <f>if(B220="","",if(J220="",0.5,if(E220="NL",1,(K220+L220))))</f>
        <v>1</v>
      </c>
      <c r="N220" s="140">
        <f>if(G220&lt;&gt;"",if(G220&gt;$I$1,1,0),"")</f>
        <v>0</v>
      </c>
      <c r="O220" s="140">
        <f t="shared" ref="O220:O222" si="228">if(B220&lt;&gt;"",if(OR(J220="",M220=""),1,0),"")</f>
        <v>0</v>
      </c>
      <c r="P220" s="140">
        <f t="shared" ref="P220:P222" si="229">if(Y220="làm thêm ngày thường",X220,if(Y220="làm thêm T7, CN",M220,0))</f>
        <v>0</v>
      </c>
      <c r="Q220" s="140">
        <f>if(or(D220='Công T5'!$B$97,D220='Công T5'!$B$98,D220='Công T5'!$B$99,D220='Công T5'!$B$100,D220='Công T5'!$B$101),if(M220="CT",1,if(M220="C/2",0.5,M220)),0)</f>
        <v>0</v>
      </c>
      <c r="R220" s="140">
        <f t="shared" ref="R220:R222" si="230">if(and(or(WEEKDAY(D220,3)&lt;5,D220=$E$1,D220=$F$1,D220=$G$1),G220&lt;$Q$1,G220&lt;&gt;""),1,0)+if(and(or(WEEKDAY(D220,3)&lt;5,D220=$E$1,D220=$F$1,D220=$G$1),H220&gt;$R$1,H220&lt;&gt;""),1,0)</f>
        <v>0</v>
      </c>
      <c r="S220" s="141">
        <f t="shared" ref="S220:S222" si="231">if(and(WEEKDAY(D220,3)&gt;4,D220&lt;&gt;$E$1,D220&lt;&gt;$F$1,D220&lt;&gt;$G$1,G220&lt;$Q$1,G220&lt;&gt;""),1,0)+if(and(WEEKDAY(D220,3)&gt;4,D220&lt;&gt;$E$1,D220&lt;&gt;$F$1,D220&lt;&gt;$G$1,H220&gt;$R$1,H220&lt;&gt;""),1,0)</f>
        <v>0</v>
      </c>
      <c r="T220" s="140">
        <f t="shared" ref="T220:T222" si="232">if(and(E220="ĐT",H220&lt;&gt;"",H220&gt;$R$1),1,0)</f>
        <v>0</v>
      </c>
      <c r="U220" s="140"/>
      <c r="V220" s="140"/>
      <c r="W220" s="140">
        <f t="shared" ref="W220:W222" si="233">if(E220="LX",if(and(G220&lt;$S$1,H220&gt;$T$1,M220&lt;&gt;1,M220&lt;&gt;"CT"),1,""),"")+if(E220="LX",if(and(G220&lt;$U$1,H220&gt;$V$1),1,""),"")</f>
        <v>0</v>
      </c>
      <c r="X220" s="142">
        <f t="shared" ref="X220:X222" si="234">if(B220="","",(if($I$1-G220&gt;0,$I$1-G220,0)+if(H220-$N$1&gt;0,H220-$N$1,0))*24/8)</f>
        <v>0.00625</v>
      </c>
      <c r="Y220" s="143"/>
    </row>
    <row r="221">
      <c r="A221" s="135">
        <v>212.0</v>
      </c>
      <c r="B221" s="135" t="s">
        <v>268</v>
      </c>
      <c r="C221" s="135" t="s">
        <v>89</v>
      </c>
      <c r="D221" s="136">
        <v>44700.0</v>
      </c>
      <c r="E221" s="135" t="str">
        <f>IFERROR(VLOOKUP(C221,'Công T5'!$C$7:$F$89,4,0),"")</f>
        <v>TV</v>
      </c>
      <c r="F221" s="137">
        <f>IFERROR(__xludf.DUMMYFUNCTION("INDEX(FILTER('Công T5'!$B$8:$C$89,'Công T5'!$C$8:$C$89=C221),1,1)"),10025.0)</f>
        <v>10025</v>
      </c>
      <c r="G221" s="138">
        <f>IFERROR(__xludf.DUMMYFUNCTION("IFERROR(INDEX(FILTER('Vân tay'!$A$5:$O330,'Vân tay'!$C$5:$C330=F221,'Vân tay'!$B$5:$B330=D221),1,10),"""")"),0.3770833333333333)</f>
        <v>0.3770833333</v>
      </c>
      <c r="H221" s="138">
        <f>IFERROR(__xludf.DUMMYFUNCTION("IFERROR(INDEX(FILTER('Vân tay'!$A$5:$O330,'Vân tay'!$C$5:$C330=F221,'Vân tay'!$B$5:$B330=D221),1,11),"""")"),0.6729166666666667)</f>
        <v>0.6729166667</v>
      </c>
      <c r="I221" s="138">
        <v>0.3333333333333333</v>
      </c>
      <c r="J221" s="138">
        <f>IFERROR(__xludf.DUMMYFUNCTION("IFERROR(INDEX(FILTER('Vân tay'!$A$5:$O330,'Vân tay'!$C$5:$C330=F221,'Vân tay'!$B$5:$B330=D221),1,15),"""")"),0.6729166666666667)</f>
        <v>0.6729166667</v>
      </c>
      <c r="K221" s="139">
        <f t="shared" si="226"/>
        <v>0.5</v>
      </c>
      <c r="L221" s="139">
        <f t="shared" si="227"/>
        <v>0.39375</v>
      </c>
      <c r="M221" s="139">
        <v>1.0</v>
      </c>
      <c r="N221" s="140"/>
      <c r="O221" s="140">
        <f t="shared" si="228"/>
        <v>0</v>
      </c>
      <c r="P221" s="140">
        <f t="shared" si="229"/>
        <v>0</v>
      </c>
      <c r="Q221" s="140">
        <f>if(or(D221='Công T5'!$B$97,D221='Công T5'!$B$98,D221='Công T5'!$B$99,D221='Công T5'!$B$100,D221='Công T5'!$B$101),if(M221="CT",1,if(M221="C/2",0.5,M221)),0)</f>
        <v>0</v>
      </c>
      <c r="R221" s="140">
        <f t="shared" si="230"/>
        <v>0</v>
      </c>
      <c r="S221" s="141">
        <f t="shared" si="231"/>
        <v>0</v>
      </c>
      <c r="T221" s="140">
        <f t="shared" si="232"/>
        <v>0</v>
      </c>
      <c r="U221" s="140"/>
      <c r="V221" s="140"/>
      <c r="W221" s="140">
        <f t="shared" si="233"/>
        <v>0</v>
      </c>
      <c r="X221" s="142">
        <f t="shared" si="234"/>
        <v>0</v>
      </c>
      <c r="Y221" s="143"/>
    </row>
    <row r="222">
      <c r="A222" s="135"/>
      <c r="B222" s="135"/>
      <c r="C222" s="135"/>
      <c r="D222" s="136"/>
      <c r="E222" s="135" t="str">
        <f>IFERROR(VLOOKUP(C222,'Công T5'!$C$7:$F$89,4,0),"")</f>
        <v/>
      </c>
      <c r="F222" s="137" t="str">
        <f>IFERROR(__xludf.DUMMYFUNCTION("INDEX(FILTER('Công T5'!$B$8:$C$89,'Công T5'!$C$8:$C$89=C222),1,1)"),"")</f>
        <v/>
      </c>
      <c r="G222" s="138" t="str">
        <f>IFERROR(__xludf.DUMMYFUNCTION("IFERROR(INDEX(FILTER('Vân tay'!$A$5:$O330,'Vân tay'!$C$5:$C330=F222,'Vân tay'!$B$5:$B330=D222),1,10),"""")"),"")</f>
        <v/>
      </c>
      <c r="H222" s="138" t="str">
        <f>IFERROR(__xludf.DUMMYFUNCTION("IFERROR(INDEX(FILTER('Vân tay'!$A$5:$O330,'Vân tay'!$C$5:$C330=F222,'Vân tay'!$B$5:$B330=D222),1,11),"""")"),"")</f>
        <v/>
      </c>
      <c r="I222" s="138" t="str">
        <f>IFERROR(__xludf.DUMMYFUNCTION("IFERROR(INDEX(FILTER('Vân tay'!$A$5:$O330,'Vân tay'!$C$5:$C330=F222,'Vân tay'!$B$5:$B330=D222),1,14),"""")"),"")</f>
        <v/>
      </c>
      <c r="J222" s="138" t="str">
        <f>IFERROR(__xludf.DUMMYFUNCTION("IFERROR(INDEX(FILTER('Vân tay'!$A$5:$O330,'Vân tay'!$C$5:$C330=F222,'Vân tay'!$B$5:$B330=D222),1,15),"""")"),"")</f>
        <v/>
      </c>
      <c r="K222" s="139" t="str">
        <f t="shared" si="226"/>
        <v/>
      </c>
      <c r="L222" s="139" t="str">
        <f t="shared" si="227"/>
        <v/>
      </c>
      <c r="M222" s="139" t="str">
        <f>if(B222="","",if(J222="",0.5,if(E222="NL",1,(K222+L222))))</f>
        <v/>
      </c>
      <c r="N222" s="140" t="str">
        <f>if(G222&lt;&gt;"",if(G222&gt;$I$1,1,0),"")</f>
        <v/>
      </c>
      <c r="O222" s="140" t="str">
        <f t="shared" si="228"/>
        <v/>
      </c>
      <c r="P222" s="140">
        <f t="shared" si="229"/>
        <v>0</v>
      </c>
      <c r="Q222" s="140" t="str">
        <f>if(or(D222='Công T5'!$B$97,D222='Công T5'!$B$98,D222='Công T5'!$B$99,D222='Công T5'!$B$100,D222='Công T5'!$B$101),if(M222="CT",1,if(M222="C/2",0.5,M222)),0)</f>
        <v/>
      </c>
      <c r="R222" s="140">
        <f t="shared" si="230"/>
        <v>0</v>
      </c>
      <c r="S222" s="141">
        <f t="shared" si="231"/>
        <v>0</v>
      </c>
      <c r="T222" s="140">
        <f t="shared" si="232"/>
        <v>0</v>
      </c>
      <c r="U222" s="140"/>
      <c r="V222" s="140"/>
      <c r="W222" s="140">
        <f t="shared" si="233"/>
        <v>0</v>
      </c>
      <c r="X222" s="142" t="str">
        <f t="shared" si="234"/>
        <v/>
      </c>
      <c r="Y222" s="143"/>
    </row>
    <row r="223">
      <c r="A223" s="135"/>
      <c r="B223" s="135"/>
      <c r="C223" s="135"/>
      <c r="D223" s="136"/>
      <c r="E223" s="135"/>
      <c r="F223" s="137"/>
      <c r="G223" s="138"/>
      <c r="H223" s="138"/>
      <c r="I223" s="138"/>
      <c r="J223" s="138"/>
      <c r="K223" s="139"/>
      <c r="L223" s="139"/>
      <c r="M223" s="139"/>
      <c r="N223" s="140"/>
      <c r="O223" s="140"/>
      <c r="P223" s="140"/>
      <c r="Q223" s="140"/>
      <c r="R223" s="140"/>
      <c r="S223" s="141"/>
      <c r="T223" s="140"/>
      <c r="U223" s="140"/>
      <c r="V223" s="140"/>
      <c r="W223" s="140"/>
      <c r="X223" s="142"/>
      <c r="Y223" s="143"/>
    </row>
    <row r="224">
      <c r="A224" s="135"/>
      <c r="B224" s="135"/>
      <c r="C224" s="135"/>
      <c r="D224" s="136"/>
      <c r="E224" s="135"/>
      <c r="F224" s="137"/>
      <c r="G224" s="138"/>
      <c r="H224" s="138"/>
      <c r="I224" s="138"/>
      <c r="J224" s="138"/>
      <c r="K224" s="139"/>
      <c r="L224" s="139"/>
      <c r="M224" s="139"/>
      <c r="N224" s="140"/>
      <c r="O224" s="140"/>
      <c r="P224" s="140"/>
      <c r="Q224" s="140"/>
      <c r="R224" s="140"/>
      <c r="S224" s="141"/>
      <c r="T224" s="140"/>
      <c r="U224" s="140"/>
      <c r="V224" s="140"/>
      <c r="W224" s="140"/>
      <c r="X224" s="142"/>
      <c r="Y224" s="143"/>
    </row>
    <row r="225">
      <c r="A225" s="135"/>
      <c r="B225" s="135"/>
      <c r="C225" s="135"/>
      <c r="D225" s="136"/>
      <c r="E225" s="135"/>
      <c r="F225" s="137"/>
      <c r="G225" s="138"/>
      <c r="H225" s="138"/>
      <c r="I225" s="138"/>
      <c r="J225" s="138"/>
      <c r="K225" s="139"/>
      <c r="L225" s="139"/>
      <c r="M225" s="139"/>
      <c r="N225" s="140"/>
      <c r="O225" s="140"/>
      <c r="P225" s="140"/>
      <c r="Q225" s="140"/>
      <c r="R225" s="140"/>
      <c r="S225" s="141"/>
      <c r="T225" s="140"/>
      <c r="U225" s="140"/>
      <c r="V225" s="140"/>
      <c r="W225" s="140"/>
      <c r="X225" s="142"/>
      <c r="Y225" s="143"/>
    </row>
    <row r="226">
      <c r="A226" s="135"/>
      <c r="B226" s="135"/>
      <c r="C226" s="135"/>
      <c r="D226" s="136"/>
      <c r="E226" s="135"/>
      <c r="F226" s="137"/>
      <c r="G226" s="138"/>
      <c r="H226" s="138"/>
      <c r="I226" s="138"/>
      <c r="J226" s="138"/>
      <c r="K226" s="139"/>
      <c r="L226" s="139"/>
      <c r="M226" s="139"/>
      <c r="N226" s="140"/>
      <c r="O226" s="140"/>
      <c r="P226" s="140"/>
      <c r="Q226" s="140"/>
      <c r="R226" s="140"/>
      <c r="S226" s="141"/>
      <c r="T226" s="140"/>
      <c r="U226" s="140"/>
      <c r="V226" s="140"/>
      <c r="W226" s="140"/>
      <c r="X226" s="142"/>
      <c r="Y226" s="143"/>
    </row>
    <row r="227">
      <c r="A227" s="135"/>
      <c r="B227" s="135"/>
      <c r="C227" s="135"/>
      <c r="D227" s="136"/>
      <c r="E227" s="135"/>
      <c r="F227" s="137"/>
      <c r="G227" s="138"/>
      <c r="H227" s="138"/>
      <c r="I227" s="138"/>
      <c r="J227" s="138"/>
      <c r="K227" s="139"/>
      <c r="L227" s="139"/>
      <c r="M227" s="139"/>
      <c r="N227" s="140"/>
      <c r="O227" s="140"/>
      <c r="P227" s="140"/>
      <c r="Q227" s="140"/>
      <c r="R227" s="140"/>
      <c r="S227" s="141"/>
      <c r="T227" s="140"/>
      <c r="U227" s="140"/>
      <c r="V227" s="140"/>
      <c r="W227" s="140"/>
      <c r="X227" s="142"/>
      <c r="Y227" s="143"/>
    </row>
    <row r="228">
      <c r="A228" s="135"/>
      <c r="B228" s="135"/>
      <c r="C228" s="135"/>
      <c r="D228" s="136"/>
      <c r="E228" s="135"/>
      <c r="F228" s="137"/>
      <c r="G228" s="138"/>
      <c r="H228" s="138"/>
      <c r="I228" s="138"/>
      <c r="J228" s="138"/>
      <c r="K228" s="139"/>
      <c r="L228" s="139"/>
      <c r="M228" s="139"/>
      <c r="N228" s="140"/>
      <c r="O228" s="140"/>
      <c r="P228" s="140"/>
      <c r="Q228" s="140"/>
      <c r="R228" s="140"/>
      <c r="S228" s="141"/>
      <c r="T228" s="140"/>
      <c r="U228" s="140"/>
      <c r="V228" s="140"/>
      <c r="W228" s="140"/>
      <c r="X228" s="142"/>
      <c r="Y228" s="143"/>
    </row>
    <row r="229">
      <c r="A229" s="135"/>
      <c r="B229" s="135"/>
      <c r="C229" s="135"/>
      <c r="D229" s="136"/>
      <c r="E229" s="135"/>
      <c r="F229" s="137"/>
      <c r="G229" s="138"/>
      <c r="H229" s="138"/>
      <c r="I229" s="138"/>
      <c r="J229" s="138"/>
      <c r="K229" s="139"/>
      <c r="L229" s="139"/>
      <c r="M229" s="139"/>
      <c r="N229" s="140"/>
      <c r="O229" s="140"/>
      <c r="P229" s="140"/>
      <c r="Q229" s="140"/>
      <c r="R229" s="140"/>
      <c r="S229" s="141"/>
      <c r="T229" s="140"/>
      <c r="U229" s="140"/>
      <c r="V229" s="140"/>
      <c r="W229" s="140"/>
      <c r="X229" s="142"/>
      <c r="Y229" s="143"/>
    </row>
    <row r="230">
      <c r="A230" s="135"/>
      <c r="B230" s="135"/>
      <c r="C230" s="135"/>
      <c r="D230" s="136"/>
      <c r="E230" s="135"/>
      <c r="F230" s="137"/>
      <c r="G230" s="138"/>
      <c r="H230" s="138"/>
      <c r="I230" s="138"/>
      <c r="J230" s="138"/>
      <c r="K230" s="139"/>
      <c r="L230" s="139"/>
      <c r="M230" s="139"/>
      <c r="N230" s="140"/>
      <c r="O230" s="140"/>
      <c r="P230" s="140"/>
      <c r="Q230" s="140"/>
      <c r="R230" s="140"/>
      <c r="S230" s="141"/>
      <c r="T230" s="140"/>
      <c r="U230" s="140"/>
      <c r="V230" s="140"/>
      <c r="W230" s="140"/>
      <c r="X230" s="142"/>
      <c r="Y230" s="143"/>
    </row>
    <row r="231">
      <c r="A231" s="135"/>
      <c r="B231" s="135"/>
      <c r="C231" s="135"/>
      <c r="D231" s="136"/>
      <c r="E231" s="135"/>
      <c r="F231" s="137"/>
      <c r="G231" s="138"/>
      <c r="H231" s="138"/>
      <c r="I231" s="138"/>
      <c r="J231" s="138"/>
      <c r="K231" s="139"/>
      <c r="L231" s="139"/>
      <c r="M231" s="139"/>
      <c r="N231" s="140"/>
      <c r="O231" s="140"/>
      <c r="P231" s="140"/>
      <c r="Q231" s="140"/>
      <c r="R231" s="140"/>
      <c r="S231" s="141"/>
      <c r="T231" s="140"/>
      <c r="U231" s="140"/>
      <c r="V231" s="140"/>
      <c r="W231" s="140"/>
      <c r="X231" s="142"/>
      <c r="Y231" s="143"/>
    </row>
    <row r="232">
      <c r="A232" s="135"/>
      <c r="B232" s="135"/>
      <c r="C232" s="135"/>
      <c r="D232" s="136"/>
      <c r="E232" s="135"/>
      <c r="F232" s="137"/>
      <c r="G232" s="138"/>
      <c r="H232" s="138"/>
      <c r="I232" s="138"/>
      <c r="J232" s="138"/>
      <c r="K232" s="139"/>
      <c r="L232" s="139"/>
      <c r="M232" s="139"/>
      <c r="N232" s="140"/>
      <c r="O232" s="140"/>
      <c r="P232" s="140"/>
      <c r="Q232" s="140"/>
      <c r="R232" s="140"/>
      <c r="S232" s="141"/>
      <c r="T232" s="140"/>
      <c r="U232" s="140"/>
      <c r="V232" s="140"/>
      <c r="W232" s="140"/>
      <c r="X232" s="142"/>
      <c r="Y232" s="143"/>
    </row>
    <row r="233">
      <c r="A233" s="135"/>
      <c r="B233" s="135"/>
      <c r="C233" s="135"/>
      <c r="D233" s="136"/>
      <c r="E233" s="135"/>
      <c r="F233" s="137"/>
      <c r="G233" s="138"/>
      <c r="H233" s="138"/>
      <c r="I233" s="138"/>
      <c r="J233" s="138"/>
      <c r="K233" s="139"/>
      <c r="L233" s="139"/>
      <c r="M233" s="139"/>
      <c r="N233" s="140"/>
      <c r="O233" s="140"/>
      <c r="P233" s="140"/>
      <c r="Q233" s="140"/>
      <c r="R233" s="140"/>
      <c r="S233" s="141"/>
      <c r="T233" s="140"/>
      <c r="U233" s="140"/>
      <c r="V233" s="140"/>
      <c r="W233" s="140"/>
      <c r="X233" s="142"/>
      <c r="Y233" s="143"/>
    </row>
    <row r="234">
      <c r="A234" s="135"/>
      <c r="B234" s="135"/>
      <c r="C234" s="135"/>
      <c r="D234" s="136"/>
      <c r="E234" s="135"/>
      <c r="F234" s="137"/>
      <c r="G234" s="138"/>
      <c r="H234" s="138"/>
      <c r="I234" s="138"/>
      <c r="J234" s="138"/>
      <c r="K234" s="139"/>
      <c r="L234" s="139"/>
      <c r="M234" s="139"/>
      <c r="N234" s="140"/>
      <c r="O234" s="140"/>
      <c r="P234" s="140"/>
      <c r="Q234" s="140"/>
      <c r="R234" s="140"/>
      <c r="S234" s="141"/>
      <c r="T234" s="140"/>
      <c r="U234" s="140"/>
      <c r="V234" s="140"/>
      <c r="W234" s="140"/>
      <c r="X234" s="142"/>
      <c r="Y234" s="143"/>
    </row>
    <row r="235">
      <c r="A235" s="135"/>
      <c r="B235" s="135"/>
      <c r="C235" s="135"/>
      <c r="D235" s="136"/>
      <c r="E235" s="135"/>
      <c r="F235" s="137"/>
      <c r="G235" s="138"/>
      <c r="H235" s="138"/>
      <c r="I235" s="138"/>
      <c r="J235" s="138"/>
      <c r="K235" s="139"/>
      <c r="L235" s="139"/>
      <c r="M235" s="139"/>
      <c r="N235" s="140"/>
      <c r="O235" s="140"/>
      <c r="P235" s="140"/>
      <c r="Q235" s="140"/>
      <c r="R235" s="140"/>
      <c r="S235" s="141"/>
      <c r="T235" s="140"/>
      <c r="U235" s="140"/>
      <c r="V235" s="140"/>
      <c r="W235" s="140"/>
      <c r="X235" s="142"/>
      <c r="Y235" s="143"/>
    </row>
    <row r="236">
      <c r="A236" s="135"/>
      <c r="B236" s="135"/>
      <c r="C236" s="135"/>
      <c r="D236" s="136"/>
      <c r="E236" s="135"/>
      <c r="F236" s="137"/>
      <c r="G236" s="138"/>
      <c r="H236" s="138"/>
      <c r="I236" s="138"/>
      <c r="J236" s="138"/>
      <c r="K236" s="139"/>
      <c r="L236" s="139"/>
      <c r="M236" s="139"/>
      <c r="N236" s="140"/>
      <c r="O236" s="140"/>
      <c r="P236" s="140"/>
      <c r="Q236" s="140"/>
      <c r="R236" s="140"/>
      <c r="S236" s="141"/>
      <c r="T236" s="140"/>
      <c r="U236" s="140"/>
      <c r="V236" s="140"/>
      <c r="W236" s="140"/>
      <c r="X236" s="142"/>
      <c r="Y236" s="143"/>
    </row>
    <row r="237">
      <c r="A237" s="135"/>
      <c r="B237" s="135"/>
      <c r="C237" s="135"/>
      <c r="D237" s="136"/>
      <c r="E237" s="135"/>
      <c r="F237" s="137"/>
      <c r="G237" s="138"/>
      <c r="H237" s="138"/>
      <c r="I237" s="138"/>
      <c r="J237" s="138"/>
      <c r="K237" s="139"/>
      <c r="L237" s="139"/>
      <c r="M237" s="139"/>
      <c r="N237" s="140"/>
      <c r="O237" s="140"/>
      <c r="P237" s="140"/>
      <c r="Q237" s="140"/>
      <c r="R237" s="140"/>
      <c r="S237" s="141"/>
      <c r="T237" s="140"/>
      <c r="U237" s="140"/>
      <c r="V237" s="140"/>
      <c r="W237" s="140"/>
      <c r="X237" s="142"/>
      <c r="Y237" s="143"/>
    </row>
    <row r="238">
      <c r="A238" s="135"/>
      <c r="B238" s="135"/>
      <c r="C238" s="135"/>
      <c r="D238" s="136"/>
      <c r="E238" s="135"/>
      <c r="F238" s="137"/>
      <c r="G238" s="138"/>
      <c r="H238" s="138"/>
      <c r="I238" s="138"/>
      <c r="J238" s="138"/>
      <c r="K238" s="139"/>
      <c r="L238" s="139"/>
      <c r="M238" s="139"/>
      <c r="N238" s="140"/>
      <c r="O238" s="140"/>
      <c r="P238" s="140"/>
      <c r="Q238" s="140"/>
      <c r="R238" s="140"/>
      <c r="S238" s="141"/>
      <c r="T238" s="140"/>
      <c r="U238" s="140"/>
      <c r="V238" s="140"/>
      <c r="W238" s="140"/>
      <c r="X238" s="142"/>
      <c r="Y238" s="143"/>
    </row>
    <row r="239">
      <c r="A239" s="135"/>
      <c r="B239" s="135"/>
      <c r="C239" s="135"/>
      <c r="D239" s="136"/>
      <c r="E239" s="135"/>
      <c r="F239" s="137"/>
      <c r="G239" s="138"/>
      <c r="H239" s="138"/>
      <c r="I239" s="138"/>
      <c r="J239" s="138"/>
      <c r="K239" s="139"/>
      <c r="L239" s="139"/>
      <c r="M239" s="139"/>
      <c r="N239" s="140"/>
      <c r="O239" s="140"/>
      <c r="P239" s="140"/>
      <c r="Q239" s="140"/>
      <c r="R239" s="140"/>
      <c r="S239" s="141"/>
      <c r="T239" s="140"/>
      <c r="U239" s="140"/>
      <c r="V239" s="140"/>
      <c r="W239" s="140"/>
      <c r="X239" s="142"/>
      <c r="Y239" s="143"/>
    </row>
    <row r="240">
      <c r="A240" s="135"/>
      <c r="B240" s="135"/>
      <c r="C240" s="135"/>
      <c r="D240" s="136"/>
      <c r="E240" s="135"/>
      <c r="F240" s="137"/>
      <c r="G240" s="138"/>
      <c r="H240" s="138"/>
      <c r="I240" s="138"/>
      <c r="J240" s="138"/>
      <c r="K240" s="139"/>
      <c r="L240" s="139"/>
      <c r="M240" s="139"/>
      <c r="N240" s="140"/>
      <c r="O240" s="140"/>
      <c r="P240" s="140"/>
      <c r="Q240" s="140"/>
      <c r="R240" s="140"/>
      <c r="S240" s="141"/>
      <c r="T240" s="140"/>
      <c r="U240" s="140"/>
      <c r="V240" s="140"/>
      <c r="W240" s="140"/>
      <c r="X240" s="142"/>
      <c r="Y240" s="143"/>
    </row>
    <row r="241">
      <c r="A241" s="135"/>
      <c r="B241" s="135"/>
      <c r="C241" s="135"/>
      <c r="D241" s="136"/>
      <c r="E241" s="135"/>
      <c r="F241" s="137"/>
      <c r="G241" s="138"/>
      <c r="H241" s="138"/>
      <c r="I241" s="138"/>
      <c r="J241" s="138"/>
      <c r="K241" s="139"/>
      <c r="L241" s="139"/>
      <c r="M241" s="139"/>
      <c r="N241" s="140"/>
      <c r="O241" s="140"/>
      <c r="P241" s="140"/>
      <c r="Q241" s="140"/>
      <c r="R241" s="140"/>
      <c r="S241" s="141"/>
      <c r="T241" s="140"/>
      <c r="U241" s="140"/>
      <c r="V241" s="140"/>
      <c r="W241" s="140"/>
      <c r="X241" s="142"/>
      <c r="Y241" s="143"/>
    </row>
    <row r="242">
      <c r="A242" s="135"/>
      <c r="B242" s="135"/>
      <c r="C242" s="135"/>
      <c r="D242" s="136"/>
      <c r="E242" s="135"/>
      <c r="F242" s="137"/>
      <c r="G242" s="138"/>
      <c r="H242" s="138"/>
      <c r="I242" s="138"/>
      <c r="J242" s="138"/>
      <c r="K242" s="139"/>
      <c r="L242" s="139"/>
      <c r="M242" s="139"/>
      <c r="N242" s="140"/>
      <c r="O242" s="140"/>
      <c r="P242" s="140"/>
      <c r="Q242" s="140"/>
      <c r="R242" s="140"/>
      <c r="S242" s="141"/>
      <c r="T242" s="140"/>
      <c r="U242" s="140"/>
      <c r="V242" s="140"/>
      <c r="W242" s="140"/>
      <c r="X242" s="142"/>
      <c r="Y242" s="143"/>
    </row>
    <row r="243">
      <c r="A243" s="135"/>
      <c r="B243" s="135"/>
      <c r="C243" s="135"/>
      <c r="D243" s="136"/>
      <c r="E243" s="135"/>
      <c r="F243" s="137"/>
      <c r="G243" s="138"/>
      <c r="H243" s="138"/>
      <c r="I243" s="138"/>
      <c r="J243" s="138"/>
      <c r="K243" s="139"/>
      <c r="L243" s="139"/>
      <c r="M243" s="139"/>
      <c r="N243" s="140"/>
      <c r="O243" s="140"/>
      <c r="P243" s="140"/>
      <c r="Q243" s="140"/>
      <c r="R243" s="140"/>
      <c r="S243" s="141"/>
      <c r="T243" s="140"/>
      <c r="U243" s="140"/>
      <c r="V243" s="140"/>
      <c r="W243" s="140"/>
      <c r="X243" s="142"/>
      <c r="Y243" s="143"/>
    </row>
    <row r="244">
      <c r="A244" s="135"/>
      <c r="B244" s="135"/>
      <c r="C244" s="135"/>
      <c r="D244" s="136"/>
      <c r="E244" s="135"/>
      <c r="F244" s="137"/>
      <c r="G244" s="138"/>
      <c r="H244" s="138"/>
      <c r="I244" s="138"/>
      <c r="J244" s="138"/>
      <c r="K244" s="139"/>
      <c r="L244" s="139"/>
      <c r="M244" s="139"/>
      <c r="N244" s="140"/>
      <c r="O244" s="140"/>
      <c r="P244" s="140"/>
      <c r="Q244" s="140"/>
      <c r="R244" s="140"/>
      <c r="S244" s="141"/>
      <c r="T244" s="140"/>
      <c r="U244" s="140"/>
      <c r="V244" s="140"/>
      <c r="W244" s="140"/>
      <c r="X244" s="142"/>
      <c r="Y244" s="143"/>
    </row>
    <row r="245">
      <c r="A245" s="135"/>
      <c r="B245" s="135"/>
      <c r="C245" s="135"/>
      <c r="D245" s="136"/>
      <c r="E245" s="135"/>
      <c r="F245" s="137"/>
      <c r="G245" s="138"/>
      <c r="H245" s="138"/>
      <c r="I245" s="138"/>
      <c r="J245" s="138"/>
      <c r="K245" s="139"/>
      <c r="L245" s="139"/>
      <c r="M245" s="139"/>
      <c r="N245" s="140"/>
      <c r="O245" s="140"/>
      <c r="P245" s="140"/>
      <c r="Q245" s="140"/>
      <c r="R245" s="140"/>
      <c r="S245" s="141"/>
      <c r="T245" s="140"/>
      <c r="U245" s="140"/>
      <c r="V245" s="140"/>
      <c r="W245" s="140"/>
      <c r="X245" s="142"/>
      <c r="Y245" s="143"/>
    </row>
    <row r="246">
      <c r="A246" s="135"/>
      <c r="B246" s="135"/>
      <c r="C246" s="135"/>
      <c r="D246" s="136"/>
      <c r="E246" s="135"/>
      <c r="F246" s="137"/>
      <c r="G246" s="138"/>
      <c r="H246" s="138"/>
      <c r="I246" s="138"/>
      <c r="J246" s="138"/>
      <c r="K246" s="139"/>
      <c r="L246" s="139"/>
      <c r="M246" s="139"/>
      <c r="N246" s="140"/>
      <c r="O246" s="140"/>
      <c r="P246" s="140"/>
      <c r="Q246" s="140"/>
      <c r="R246" s="140"/>
      <c r="S246" s="141"/>
      <c r="T246" s="140"/>
      <c r="U246" s="140"/>
      <c r="V246" s="140"/>
      <c r="W246" s="140"/>
      <c r="X246" s="142"/>
      <c r="Y246" s="143"/>
    </row>
    <row r="247">
      <c r="A247" s="135"/>
      <c r="B247" s="135"/>
      <c r="C247" s="135"/>
      <c r="D247" s="136"/>
      <c r="E247" s="135"/>
      <c r="F247" s="137"/>
      <c r="G247" s="138"/>
      <c r="H247" s="138"/>
      <c r="I247" s="138"/>
      <c r="J247" s="138"/>
      <c r="K247" s="139"/>
      <c r="L247" s="139"/>
      <c r="M247" s="139"/>
      <c r="N247" s="140"/>
      <c r="O247" s="140"/>
      <c r="P247" s="140"/>
      <c r="Q247" s="140"/>
      <c r="R247" s="140"/>
      <c r="S247" s="141"/>
      <c r="T247" s="140"/>
      <c r="U247" s="140"/>
      <c r="V247" s="140"/>
      <c r="W247" s="140"/>
      <c r="X247" s="142"/>
      <c r="Y247" s="143"/>
    </row>
    <row r="248">
      <c r="A248" s="135"/>
      <c r="B248" s="135"/>
      <c r="C248" s="135"/>
      <c r="D248" s="136"/>
      <c r="E248" s="135"/>
      <c r="F248" s="137"/>
      <c r="G248" s="138"/>
      <c r="H248" s="138"/>
      <c r="I248" s="138"/>
      <c r="J248" s="138"/>
      <c r="K248" s="139"/>
      <c r="L248" s="139"/>
      <c r="M248" s="139"/>
      <c r="N248" s="140"/>
      <c r="O248" s="140"/>
      <c r="P248" s="140"/>
      <c r="Q248" s="140"/>
      <c r="R248" s="140"/>
      <c r="S248" s="141"/>
      <c r="T248" s="140"/>
      <c r="U248" s="140"/>
      <c r="V248" s="140"/>
      <c r="W248" s="140"/>
      <c r="X248" s="142"/>
      <c r="Y248" s="143"/>
    </row>
    <row r="249">
      <c r="A249" s="135"/>
      <c r="B249" s="135"/>
      <c r="C249" s="135"/>
      <c r="D249" s="136"/>
      <c r="E249" s="135"/>
      <c r="F249" s="137"/>
      <c r="G249" s="138"/>
      <c r="H249" s="138"/>
      <c r="I249" s="138"/>
      <c r="J249" s="138"/>
      <c r="K249" s="139"/>
      <c r="L249" s="139"/>
      <c r="M249" s="139"/>
      <c r="N249" s="140"/>
      <c r="O249" s="140"/>
      <c r="P249" s="140"/>
      <c r="Q249" s="140"/>
      <c r="R249" s="140"/>
      <c r="S249" s="141"/>
      <c r="T249" s="140"/>
      <c r="U249" s="140"/>
      <c r="V249" s="140"/>
      <c r="W249" s="140"/>
      <c r="X249" s="142"/>
      <c r="Y249" s="143"/>
    </row>
    <row r="250">
      <c r="A250" s="135"/>
      <c r="B250" s="135"/>
      <c r="C250" s="135"/>
      <c r="D250" s="136"/>
      <c r="E250" s="135"/>
      <c r="F250" s="137"/>
      <c r="G250" s="138"/>
      <c r="H250" s="138"/>
      <c r="I250" s="138"/>
      <c r="J250" s="138"/>
      <c r="K250" s="139"/>
      <c r="L250" s="139"/>
      <c r="M250" s="139"/>
      <c r="N250" s="140"/>
      <c r="O250" s="140"/>
      <c r="P250" s="140"/>
      <c r="Q250" s="140"/>
      <c r="R250" s="140"/>
      <c r="S250" s="141"/>
      <c r="T250" s="140"/>
      <c r="U250" s="140"/>
      <c r="V250" s="140"/>
      <c r="W250" s="140"/>
      <c r="X250" s="142"/>
      <c r="Y250" s="143"/>
    </row>
    <row r="251">
      <c r="A251" s="135"/>
      <c r="B251" s="135"/>
      <c r="C251" s="135"/>
      <c r="D251" s="136"/>
      <c r="E251" s="135"/>
      <c r="F251" s="137"/>
      <c r="G251" s="138"/>
      <c r="H251" s="138"/>
      <c r="I251" s="138"/>
      <c r="J251" s="138"/>
      <c r="K251" s="139"/>
      <c r="L251" s="139"/>
      <c r="M251" s="139"/>
      <c r="N251" s="140"/>
      <c r="O251" s="140"/>
      <c r="P251" s="140"/>
      <c r="Q251" s="140"/>
      <c r="R251" s="140"/>
      <c r="S251" s="141"/>
      <c r="T251" s="140"/>
      <c r="U251" s="140"/>
      <c r="V251" s="140"/>
      <c r="W251" s="140"/>
      <c r="X251" s="142"/>
      <c r="Y251" s="143"/>
    </row>
    <row r="252">
      <c r="A252" s="135"/>
      <c r="B252" s="135"/>
      <c r="C252" s="135"/>
      <c r="D252" s="136"/>
      <c r="E252" s="135"/>
      <c r="F252" s="137"/>
      <c r="G252" s="138"/>
      <c r="H252" s="138"/>
      <c r="I252" s="138"/>
      <c r="J252" s="138"/>
      <c r="K252" s="139"/>
      <c r="L252" s="139"/>
      <c r="M252" s="139"/>
      <c r="N252" s="140"/>
      <c r="O252" s="140"/>
      <c r="P252" s="140"/>
      <c r="Q252" s="140"/>
      <c r="R252" s="140"/>
      <c r="S252" s="141"/>
      <c r="T252" s="140"/>
      <c r="U252" s="140"/>
      <c r="V252" s="140"/>
      <c r="W252" s="140"/>
      <c r="X252" s="142"/>
      <c r="Y252" s="143"/>
    </row>
    <row r="253">
      <c r="A253" s="135"/>
      <c r="B253" s="135"/>
      <c r="C253" s="135"/>
      <c r="D253" s="136"/>
      <c r="E253" s="135"/>
      <c r="F253" s="137"/>
      <c r="G253" s="138"/>
      <c r="H253" s="138"/>
      <c r="I253" s="138"/>
      <c r="J253" s="138"/>
      <c r="K253" s="139"/>
      <c r="L253" s="139"/>
      <c r="M253" s="139"/>
      <c r="N253" s="140"/>
      <c r="O253" s="140"/>
      <c r="P253" s="140"/>
      <c r="Q253" s="140"/>
      <c r="R253" s="140"/>
      <c r="S253" s="141"/>
      <c r="T253" s="140"/>
      <c r="U253" s="140"/>
      <c r="V253" s="140"/>
      <c r="W253" s="140"/>
      <c r="X253" s="142"/>
      <c r="Y253" s="143"/>
    </row>
    <row r="254">
      <c r="A254" s="135"/>
      <c r="B254" s="135"/>
      <c r="C254" s="135"/>
      <c r="D254" s="136"/>
      <c r="E254" s="135"/>
      <c r="F254" s="137"/>
      <c r="G254" s="138"/>
      <c r="H254" s="138"/>
      <c r="I254" s="138"/>
      <c r="J254" s="138"/>
      <c r="K254" s="139"/>
      <c r="L254" s="139"/>
      <c r="M254" s="139"/>
      <c r="N254" s="140"/>
      <c r="O254" s="140"/>
      <c r="P254" s="140"/>
      <c r="Q254" s="140"/>
      <c r="R254" s="140"/>
      <c r="S254" s="141"/>
      <c r="T254" s="140"/>
      <c r="U254" s="140"/>
      <c r="V254" s="140"/>
      <c r="W254" s="140"/>
      <c r="X254" s="142"/>
      <c r="Y254" s="143"/>
    </row>
    <row r="255">
      <c r="A255" s="135"/>
      <c r="B255" s="135"/>
      <c r="C255" s="135"/>
      <c r="D255" s="136"/>
      <c r="E255" s="135"/>
      <c r="F255" s="137"/>
      <c r="G255" s="138"/>
      <c r="H255" s="138"/>
      <c r="I255" s="138"/>
      <c r="J255" s="138"/>
      <c r="K255" s="139"/>
      <c r="L255" s="139"/>
      <c r="M255" s="139"/>
      <c r="N255" s="140"/>
      <c r="O255" s="140"/>
      <c r="P255" s="140"/>
      <c r="Q255" s="140"/>
      <c r="R255" s="140"/>
      <c r="S255" s="141"/>
      <c r="T255" s="140"/>
      <c r="U255" s="140"/>
      <c r="V255" s="140"/>
      <c r="W255" s="140"/>
      <c r="X255" s="142"/>
      <c r="Y255" s="143"/>
    </row>
    <row r="256">
      <c r="A256" s="135"/>
      <c r="B256" s="135"/>
      <c r="C256" s="135"/>
      <c r="D256" s="136"/>
      <c r="E256" s="135"/>
      <c r="F256" s="137"/>
      <c r="G256" s="138"/>
      <c r="H256" s="138"/>
      <c r="I256" s="138"/>
      <c r="J256" s="138"/>
      <c r="K256" s="139"/>
      <c r="L256" s="139"/>
      <c r="M256" s="139"/>
      <c r="N256" s="140"/>
      <c r="O256" s="140"/>
      <c r="P256" s="140"/>
      <c r="Q256" s="140"/>
      <c r="R256" s="140"/>
      <c r="S256" s="141"/>
      <c r="T256" s="140"/>
      <c r="U256" s="140"/>
      <c r="V256" s="140"/>
      <c r="W256" s="140"/>
      <c r="X256" s="142"/>
      <c r="Y256" s="143"/>
    </row>
    <row r="257">
      <c r="A257" s="135"/>
      <c r="B257" s="135"/>
      <c r="C257" s="135"/>
      <c r="D257" s="136"/>
      <c r="E257" s="135"/>
      <c r="F257" s="137"/>
      <c r="G257" s="138"/>
      <c r="H257" s="138"/>
      <c r="I257" s="138"/>
      <c r="J257" s="138"/>
      <c r="K257" s="139"/>
      <c r="L257" s="139"/>
      <c r="M257" s="139"/>
      <c r="N257" s="140"/>
      <c r="O257" s="140"/>
      <c r="P257" s="140"/>
      <c r="Q257" s="140"/>
      <c r="R257" s="140"/>
      <c r="S257" s="141"/>
      <c r="T257" s="140"/>
      <c r="U257" s="140"/>
      <c r="V257" s="140"/>
      <c r="W257" s="140"/>
      <c r="X257" s="142"/>
      <c r="Y257" s="143"/>
    </row>
    <row r="258">
      <c r="A258" s="135"/>
      <c r="B258" s="135"/>
      <c r="C258" s="135"/>
      <c r="D258" s="136"/>
      <c r="E258" s="135"/>
      <c r="F258" s="137"/>
      <c r="G258" s="138"/>
      <c r="H258" s="138"/>
      <c r="I258" s="138"/>
      <c r="J258" s="138"/>
      <c r="K258" s="139"/>
      <c r="L258" s="139"/>
      <c r="M258" s="139"/>
      <c r="N258" s="140"/>
      <c r="O258" s="140"/>
      <c r="P258" s="140"/>
      <c r="Q258" s="140"/>
      <c r="R258" s="140"/>
      <c r="S258" s="141"/>
      <c r="T258" s="140"/>
      <c r="U258" s="140"/>
      <c r="V258" s="140"/>
      <c r="W258" s="140"/>
      <c r="X258" s="142"/>
      <c r="Y258" s="143"/>
    </row>
    <row r="259">
      <c r="A259" s="135"/>
      <c r="B259" s="135"/>
      <c r="C259" s="135"/>
      <c r="D259" s="136"/>
      <c r="E259" s="135"/>
      <c r="F259" s="137"/>
      <c r="G259" s="138"/>
      <c r="H259" s="138"/>
      <c r="I259" s="138"/>
      <c r="J259" s="138"/>
      <c r="K259" s="139"/>
      <c r="L259" s="139"/>
      <c r="M259" s="139"/>
      <c r="N259" s="140"/>
      <c r="O259" s="140"/>
      <c r="P259" s="140"/>
      <c r="Q259" s="140"/>
      <c r="R259" s="140"/>
      <c r="S259" s="141"/>
      <c r="T259" s="140"/>
      <c r="U259" s="140"/>
      <c r="V259" s="140"/>
      <c r="W259" s="140"/>
      <c r="X259" s="142"/>
      <c r="Y259" s="143"/>
    </row>
    <row r="260">
      <c r="A260" s="135"/>
      <c r="B260" s="135"/>
      <c r="C260" s="135"/>
      <c r="D260" s="136"/>
      <c r="E260" s="135"/>
      <c r="F260" s="137"/>
      <c r="G260" s="138"/>
      <c r="H260" s="138"/>
      <c r="I260" s="138"/>
      <c r="J260" s="138"/>
      <c r="K260" s="139"/>
      <c r="L260" s="139"/>
      <c r="M260" s="139"/>
      <c r="N260" s="140"/>
      <c r="O260" s="140"/>
      <c r="P260" s="140"/>
      <c r="Q260" s="140"/>
      <c r="R260" s="140"/>
      <c r="S260" s="141"/>
      <c r="T260" s="140"/>
      <c r="U260" s="140"/>
      <c r="V260" s="140"/>
      <c r="W260" s="140"/>
      <c r="X260" s="142"/>
      <c r="Y260" s="143"/>
    </row>
    <row r="261">
      <c r="A261" s="135"/>
      <c r="B261" s="135"/>
      <c r="C261" s="135"/>
      <c r="D261" s="136"/>
      <c r="E261" s="135"/>
      <c r="F261" s="137"/>
      <c r="G261" s="138"/>
      <c r="H261" s="138"/>
      <c r="I261" s="138"/>
      <c r="J261" s="138"/>
      <c r="K261" s="139"/>
      <c r="L261" s="139"/>
      <c r="M261" s="139"/>
      <c r="N261" s="140"/>
      <c r="O261" s="140"/>
      <c r="P261" s="140"/>
      <c r="Q261" s="140"/>
      <c r="R261" s="140"/>
      <c r="S261" s="141"/>
      <c r="T261" s="140"/>
      <c r="U261" s="140"/>
      <c r="V261" s="140"/>
      <c r="W261" s="140"/>
      <c r="X261" s="142"/>
      <c r="Y261" s="143"/>
    </row>
    <row r="262">
      <c r="A262" s="135"/>
      <c r="B262" s="135"/>
      <c r="C262" s="135"/>
      <c r="D262" s="136"/>
      <c r="E262" s="135"/>
      <c r="F262" s="137"/>
      <c r="G262" s="138"/>
      <c r="H262" s="138"/>
      <c r="I262" s="138"/>
      <c r="J262" s="138"/>
      <c r="K262" s="139"/>
      <c r="L262" s="139"/>
      <c r="M262" s="139"/>
      <c r="N262" s="140"/>
      <c r="O262" s="140"/>
      <c r="P262" s="140"/>
      <c r="Q262" s="140"/>
      <c r="R262" s="140"/>
      <c r="S262" s="141"/>
      <c r="T262" s="140"/>
      <c r="U262" s="140"/>
      <c r="V262" s="140"/>
      <c r="W262" s="140"/>
      <c r="X262" s="142"/>
      <c r="Y262" s="143"/>
    </row>
    <row r="263">
      <c r="A263" s="135"/>
      <c r="B263" s="135"/>
      <c r="C263" s="135"/>
      <c r="D263" s="136"/>
      <c r="E263" s="135"/>
      <c r="F263" s="137"/>
      <c r="G263" s="138"/>
      <c r="H263" s="138"/>
      <c r="I263" s="138"/>
      <c r="J263" s="138"/>
      <c r="K263" s="139"/>
      <c r="L263" s="139"/>
      <c r="M263" s="139"/>
      <c r="N263" s="140"/>
      <c r="O263" s="140"/>
      <c r="P263" s="140"/>
      <c r="Q263" s="140"/>
      <c r="R263" s="140"/>
      <c r="S263" s="141"/>
      <c r="T263" s="140"/>
      <c r="U263" s="140"/>
      <c r="V263" s="140"/>
      <c r="W263" s="140"/>
      <c r="X263" s="142"/>
      <c r="Y263" s="143"/>
    </row>
    <row r="264">
      <c r="A264" s="135"/>
      <c r="B264" s="135"/>
      <c r="C264" s="135"/>
      <c r="D264" s="136"/>
      <c r="E264" s="135"/>
      <c r="F264" s="137"/>
      <c r="G264" s="138"/>
      <c r="H264" s="138"/>
      <c r="I264" s="138"/>
      <c r="J264" s="138"/>
      <c r="K264" s="139"/>
      <c r="L264" s="139"/>
      <c r="M264" s="139"/>
      <c r="N264" s="140"/>
      <c r="O264" s="140"/>
      <c r="P264" s="140"/>
      <c r="Q264" s="140"/>
      <c r="R264" s="140"/>
      <c r="S264" s="141"/>
      <c r="T264" s="140"/>
      <c r="U264" s="140"/>
      <c r="V264" s="140"/>
      <c r="W264" s="140"/>
      <c r="X264" s="142"/>
      <c r="Y264" s="143"/>
    </row>
    <row r="265">
      <c r="A265" s="135"/>
      <c r="B265" s="135"/>
      <c r="C265" s="135"/>
      <c r="D265" s="136"/>
      <c r="E265" s="135"/>
      <c r="F265" s="137"/>
      <c r="G265" s="138"/>
      <c r="H265" s="138"/>
      <c r="I265" s="138"/>
      <c r="J265" s="138"/>
      <c r="K265" s="139"/>
      <c r="L265" s="139"/>
      <c r="M265" s="139"/>
      <c r="N265" s="140"/>
      <c r="O265" s="140"/>
      <c r="P265" s="140"/>
      <c r="Q265" s="140"/>
      <c r="R265" s="140"/>
      <c r="S265" s="141"/>
      <c r="T265" s="140"/>
      <c r="U265" s="140"/>
      <c r="V265" s="140"/>
      <c r="W265" s="140"/>
      <c r="X265" s="142"/>
      <c r="Y265" s="143"/>
    </row>
    <row r="266">
      <c r="A266" s="135"/>
      <c r="B266" s="135"/>
      <c r="C266" s="135"/>
      <c r="D266" s="136"/>
      <c r="E266" s="135"/>
      <c r="F266" s="137"/>
      <c r="G266" s="138"/>
      <c r="H266" s="138"/>
      <c r="I266" s="138"/>
      <c r="J266" s="138"/>
      <c r="K266" s="139"/>
      <c r="L266" s="139"/>
      <c r="M266" s="139"/>
      <c r="N266" s="140"/>
      <c r="O266" s="140"/>
      <c r="P266" s="140"/>
      <c r="Q266" s="140"/>
      <c r="R266" s="140"/>
      <c r="S266" s="141"/>
      <c r="T266" s="140"/>
      <c r="U266" s="140"/>
      <c r="V266" s="140"/>
      <c r="W266" s="140"/>
      <c r="X266" s="142"/>
      <c r="Y266" s="143"/>
    </row>
    <row r="267">
      <c r="A267" s="135"/>
      <c r="B267" s="135"/>
      <c r="C267" s="135"/>
      <c r="D267" s="136"/>
      <c r="E267" s="135"/>
      <c r="F267" s="137"/>
      <c r="G267" s="138"/>
      <c r="H267" s="138"/>
      <c r="I267" s="138"/>
      <c r="J267" s="138"/>
      <c r="K267" s="139"/>
      <c r="L267" s="139"/>
      <c r="M267" s="139"/>
      <c r="N267" s="140"/>
      <c r="O267" s="140"/>
      <c r="P267" s="140"/>
      <c r="Q267" s="140"/>
      <c r="R267" s="140"/>
      <c r="S267" s="141"/>
      <c r="T267" s="140"/>
      <c r="U267" s="140"/>
      <c r="V267" s="140"/>
      <c r="W267" s="140"/>
      <c r="X267" s="142"/>
      <c r="Y267" s="143"/>
    </row>
    <row r="268">
      <c r="A268" s="135"/>
      <c r="B268" s="135"/>
      <c r="C268" s="135"/>
      <c r="D268" s="136"/>
      <c r="E268" s="135"/>
      <c r="F268" s="137"/>
      <c r="G268" s="138"/>
      <c r="H268" s="138"/>
      <c r="I268" s="138"/>
      <c r="J268" s="138"/>
      <c r="K268" s="139"/>
      <c r="L268" s="139"/>
      <c r="M268" s="139"/>
      <c r="N268" s="140"/>
      <c r="O268" s="140"/>
      <c r="P268" s="140"/>
      <c r="Q268" s="140"/>
      <c r="R268" s="140"/>
      <c r="S268" s="141"/>
      <c r="T268" s="140"/>
      <c r="U268" s="140"/>
      <c r="V268" s="140"/>
      <c r="W268" s="140"/>
      <c r="X268" s="142"/>
      <c r="Y268" s="143"/>
    </row>
    <row r="269">
      <c r="A269" s="135"/>
      <c r="B269" s="135"/>
      <c r="C269" s="135"/>
      <c r="D269" s="136"/>
      <c r="E269" s="135"/>
      <c r="F269" s="137"/>
      <c r="G269" s="138"/>
      <c r="H269" s="138"/>
      <c r="I269" s="138"/>
      <c r="J269" s="138"/>
      <c r="K269" s="139"/>
      <c r="L269" s="139"/>
      <c r="M269" s="139"/>
      <c r="N269" s="140"/>
      <c r="O269" s="140"/>
      <c r="P269" s="140"/>
      <c r="Q269" s="140"/>
      <c r="R269" s="140"/>
      <c r="S269" s="141"/>
      <c r="T269" s="140"/>
      <c r="U269" s="140"/>
      <c r="V269" s="140"/>
      <c r="W269" s="140"/>
      <c r="X269" s="142"/>
      <c r="Y269" s="143"/>
    </row>
    <row r="270">
      <c r="A270" s="135"/>
      <c r="B270" s="135"/>
      <c r="C270" s="135"/>
      <c r="D270" s="136"/>
      <c r="E270" s="135"/>
      <c r="F270" s="137"/>
      <c r="G270" s="138"/>
      <c r="H270" s="138"/>
      <c r="I270" s="138"/>
      <c r="J270" s="138"/>
      <c r="K270" s="139"/>
      <c r="L270" s="139"/>
      <c r="M270" s="139"/>
      <c r="N270" s="140"/>
      <c r="O270" s="140"/>
      <c r="P270" s="140"/>
      <c r="Q270" s="140"/>
      <c r="R270" s="140"/>
      <c r="S270" s="141"/>
      <c r="T270" s="140"/>
      <c r="U270" s="140"/>
      <c r="V270" s="140"/>
      <c r="W270" s="140"/>
      <c r="X270" s="142"/>
      <c r="Y270" s="143"/>
    </row>
    <row r="271">
      <c r="A271" s="135"/>
      <c r="B271" s="135"/>
      <c r="C271" s="135"/>
      <c r="D271" s="136"/>
      <c r="E271" s="135"/>
      <c r="F271" s="137"/>
      <c r="G271" s="138"/>
      <c r="H271" s="138"/>
      <c r="I271" s="138"/>
      <c r="J271" s="138"/>
      <c r="K271" s="139"/>
      <c r="L271" s="139"/>
      <c r="M271" s="139"/>
      <c r="N271" s="140"/>
      <c r="O271" s="140"/>
      <c r="P271" s="140"/>
      <c r="Q271" s="140"/>
      <c r="R271" s="140"/>
      <c r="S271" s="141"/>
      <c r="T271" s="140"/>
      <c r="U271" s="140"/>
      <c r="V271" s="140"/>
      <c r="W271" s="140"/>
      <c r="X271" s="142"/>
      <c r="Y271" s="143"/>
    </row>
    <row r="272">
      <c r="A272" s="135"/>
      <c r="B272" s="135"/>
      <c r="C272" s="135"/>
      <c r="D272" s="136"/>
      <c r="E272" s="135"/>
      <c r="F272" s="137"/>
      <c r="G272" s="138"/>
      <c r="H272" s="138"/>
      <c r="I272" s="138"/>
      <c r="J272" s="138"/>
      <c r="K272" s="139"/>
      <c r="L272" s="139"/>
      <c r="M272" s="139"/>
      <c r="N272" s="140"/>
      <c r="O272" s="140"/>
      <c r="P272" s="140"/>
      <c r="Q272" s="140"/>
      <c r="R272" s="140"/>
      <c r="S272" s="141"/>
      <c r="T272" s="140"/>
      <c r="U272" s="140"/>
      <c r="V272" s="140"/>
      <c r="W272" s="140"/>
      <c r="X272" s="142"/>
      <c r="Y272" s="143"/>
    </row>
    <row r="273">
      <c r="A273" s="135"/>
      <c r="B273" s="135"/>
      <c r="C273" s="135"/>
      <c r="D273" s="136"/>
      <c r="E273" s="135"/>
      <c r="F273" s="137"/>
      <c r="G273" s="138"/>
      <c r="H273" s="138"/>
      <c r="I273" s="138"/>
      <c r="J273" s="138"/>
      <c r="K273" s="139"/>
      <c r="L273" s="139"/>
      <c r="M273" s="139"/>
      <c r="N273" s="140"/>
      <c r="O273" s="140"/>
      <c r="P273" s="140"/>
      <c r="Q273" s="140"/>
      <c r="R273" s="140"/>
      <c r="S273" s="141"/>
      <c r="T273" s="140"/>
      <c r="U273" s="140"/>
      <c r="V273" s="140"/>
      <c r="W273" s="140"/>
      <c r="X273" s="142"/>
      <c r="Y273" s="143"/>
    </row>
    <row r="274">
      <c r="A274" s="135"/>
      <c r="B274" s="135"/>
      <c r="C274" s="135"/>
      <c r="D274" s="136"/>
      <c r="E274" s="135"/>
      <c r="F274" s="137"/>
      <c r="G274" s="138"/>
      <c r="H274" s="138"/>
      <c r="I274" s="138"/>
      <c r="J274" s="138"/>
      <c r="K274" s="139"/>
      <c r="L274" s="139"/>
      <c r="M274" s="139"/>
      <c r="N274" s="140"/>
      <c r="O274" s="140"/>
      <c r="P274" s="140"/>
      <c r="Q274" s="140"/>
      <c r="R274" s="140"/>
      <c r="S274" s="141"/>
      <c r="T274" s="140"/>
      <c r="U274" s="140"/>
      <c r="V274" s="140"/>
      <c r="W274" s="140"/>
      <c r="X274" s="142"/>
      <c r="Y274" s="143"/>
    </row>
    <row r="275">
      <c r="A275" s="135"/>
      <c r="B275" s="135"/>
      <c r="C275" s="135"/>
      <c r="D275" s="136"/>
      <c r="E275" s="135"/>
      <c r="F275" s="137"/>
      <c r="G275" s="138"/>
      <c r="H275" s="138"/>
      <c r="I275" s="138"/>
      <c r="J275" s="138"/>
      <c r="K275" s="139"/>
      <c r="L275" s="139"/>
      <c r="M275" s="139"/>
      <c r="N275" s="140"/>
      <c r="O275" s="140"/>
      <c r="P275" s="140"/>
      <c r="Q275" s="140"/>
      <c r="R275" s="140"/>
      <c r="S275" s="141"/>
      <c r="T275" s="140"/>
      <c r="U275" s="140"/>
      <c r="V275" s="140"/>
      <c r="W275" s="140"/>
      <c r="X275" s="142"/>
      <c r="Y275" s="143"/>
    </row>
    <row r="276">
      <c r="A276" s="135"/>
      <c r="B276" s="135"/>
      <c r="C276" s="135"/>
      <c r="D276" s="136"/>
      <c r="E276" s="135"/>
      <c r="F276" s="137"/>
      <c r="G276" s="138"/>
      <c r="H276" s="138"/>
      <c r="I276" s="138"/>
      <c r="J276" s="138"/>
      <c r="K276" s="139"/>
      <c r="L276" s="139"/>
      <c r="M276" s="139"/>
      <c r="N276" s="140"/>
      <c r="O276" s="140"/>
      <c r="P276" s="140"/>
      <c r="Q276" s="140"/>
      <c r="R276" s="140"/>
      <c r="S276" s="141"/>
      <c r="T276" s="140"/>
      <c r="U276" s="140"/>
      <c r="V276" s="140"/>
      <c r="W276" s="140"/>
      <c r="X276" s="142"/>
      <c r="Y276" s="143"/>
    </row>
    <row r="277">
      <c r="A277" s="135"/>
      <c r="B277" s="135"/>
      <c r="C277" s="135"/>
      <c r="D277" s="136"/>
      <c r="E277" s="135"/>
      <c r="F277" s="137"/>
      <c r="G277" s="138"/>
      <c r="H277" s="138"/>
      <c r="I277" s="138"/>
      <c r="J277" s="138"/>
      <c r="K277" s="139"/>
      <c r="L277" s="139"/>
      <c r="M277" s="139"/>
      <c r="N277" s="140"/>
      <c r="O277" s="140"/>
      <c r="P277" s="140"/>
      <c r="Q277" s="140"/>
      <c r="R277" s="140"/>
      <c r="S277" s="141"/>
      <c r="T277" s="140"/>
      <c r="U277" s="140"/>
      <c r="V277" s="140"/>
      <c r="W277" s="140"/>
      <c r="X277" s="142"/>
      <c r="Y277" s="143"/>
    </row>
    <row r="278">
      <c r="A278" s="135"/>
      <c r="B278" s="135"/>
      <c r="C278" s="135"/>
      <c r="D278" s="136"/>
      <c r="E278" s="135"/>
      <c r="F278" s="137"/>
      <c r="G278" s="138"/>
      <c r="H278" s="138"/>
      <c r="I278" s="138"/>
      <c r="J278" s="138"/>
      <c r="K278" s="139"/>
      <c r="L278" s="139"/>
      <c r="M278" s="139"/>
      <c r="N278" s="140"/>
      <c r="O278" s="140"/>
      <c r="P278" s="140"/>
      <c r="Q278" s="140"/>
      <c r="R278" s="140"/>
      <c r="S278" s="141"/>
      <c r="T278" s="140"/>
      <c r="U278" s="140"/>
      <c r="V278" s="140"/>
      <c r="W278" s="140"/>
      <c r="X278" s="142"/>
      <c r="Y278" s="143"/>
    </row>
    <row r="279">
      <c r="A279" s="135"/>
      <c r="B279" s="135"/>
      <c r="C279" s="135"/>
      <c r="D279" s="136"/>
      <c r="E279" s="135"/>
      <c r="F279" s="137"/>
      <c r="G279" s="138"/>
      <c r="H279" s="138"/>
      <c r="I279" s="138"/>
      <c r="J279" s="138"/>
      <c r="K279" s="139"/>
      <c r="L279" s="139"/>
      <c r="M279" s="139"/>
      <c r="N279" s="140"/>
      <c r="O279" s="140"/>
      <c r="P279" s="140"/>
      <c r="Q279" s="140"/>
      <c r="R279" s="140"/>
      <c r="S279" s="141"/>
      <c r="T279" s="140"/>
      <c r="U279" s="140"/>
      <c r="V279" s="140"/>
      <c r="W279" s="140"/>
      <c r="X279" s="142"/>
      <c r="Y279" s="143"/>
    </row>
    <row r="280">
      <c r="A280" s="135"/>
      <c r="B280" s="135"/>
      <c r="C280" s="135"/>
      <c r="D280" s="136"/>
      <c r="E280" s="135"/>
      <c r="F280" s="137"/>
      <c r="G280" s="138"/>
      <c r="H280" s="138"/>
      <c r="I280" s="138"/>
      <c r="J280" s="138"/>
      <c r="K280" s="139"/>
      <c r="L280" s="139"/>
      <c r="M280" s="139"/>
      <c r="N280" s="140"/>
      <c r="O280" s="140"/>
      <c r="P280" s="140"/>
      <c r="Q280" s="140"/>
      <c r="R280" s="140"/>
      <c r="S280" s="141"/>
      <c r="T280" s="140"/>
      <c r="U280" s="140"/>
      <c r="V280" s="140"/>
      <c r="W280" s="140"/>
      <c r="X280" s="142"/>
      <c r="Y280" s="143"/>
    </row>
    <row r="281">
      <c r="A281" s="135"/>
      <c r="B281" s="135"/>
      <c r="C281" s="135"/>
      <c r="D281" s="136"/>
      <c r="E281" s="135"/>
      <c r="F281" s="137"/>
      <c r="G281" s="138"/>
      <c r="H281" s="138"/>
      <c r="I281" s="138"/>
      <c r="J281" s="138"/>
      <c r="K281" s="139"/>
      <c r="L281" s="139"/>
      <c r="M281" s="139"/>
      <c r="N281" s="140"/>
      <c r="O281" s="140"/>
      <c r="P281" s="140"/>
      <c r="Q281" s="140"/>
      <c r="R281" s="140"/>
      <c r="S281" s="141"/>
      <c r="T281" s="140"/>
      <c r="U281" s="140"/>
      <c r="V281" s="140"/>
      <c r="W281" s="140"/>
      <c r="X281" s="142"/>
      <c r="Y281" s="143"/>
    </row>
    <row r="282">
      <c r="A282" s="135"/>
      <c r="B282" s="135"/>
      <c r="C282" s="135"/>
      <c r="D282" s="136"/>
      <c r="E282" s="135"/>
      <c r="F282" s="137"/>
      <c r="G282" s="138"/>
      <c r="H282" s="138"/>
      <c r="I282" s="138"/>
      <c r="J282" s="138"/>
      <c r="K282" s="139"/>
      <c r="L282" s="139"/>
      <c r="M282" s="139"/>
      <c r="N282" s="140"/>
      <c r="O282" s="140"/>
      <c r="P282" s="140"/>
      <c r="Q282" s="140"/>
      <c r="R282" s="140"/>
      <c r="S282" s="141"/>
      <c r="T282" s="140"/>
      <c r="U282" s="140"/>
      <c r="V282" s="140"/>
      <c r="W282" s="140"/>
      <c r="X282" s="142"/>
      <c r="Y282" s="143"/>
    </row>
    <row r="283">
      <c r="A283" s="135"/>
      <c r="B283" s="135"/>
      <c r="C283" s="135"/>
      <c r="D283" s="136"/>
      <c r="E283" s="135"/>
      <c r="F283" s="137"/>
      <c r="G283" s="138"/>
      <c r="H283" s="138"/>
      <c r="I283" s="138"/>
      <c r="J283" s="138"/>
      <c r="K283" s="139"/>
      <c r="L283" s="139"/>
      <c r="M283" s="139"/>
      <c r="N283" s="140"/>
      <c r="O283" s="140"/>
      <c r="P283" s="140"/>
      <c r="Q283" s="140"/>
      <c r="R283" s="140"/>
      <c r="S283" s="141"/>
      <c r="T283" s="140"/>
      <c r="U283" s="140"/>
      <c r="V283" s="140"/>
      <c r="W283" s="140"/>
      <c r="X283" s="142"/>
      <c r="Y283" s="143"/>
    </row>
    <row r="284">
      <c r="A284" s="135"/>
      <c r="B284" s="135"/>
      <c r="C284" s="135"/>
      <c r="D284" s="136"/>
      <c r="E284" s="135"/>
      <c r="F284" s="137"/>
      <c r="G284" s="138"/>
      <c r="H284" s="138"/>
      <c r="I284" s="138"/>
      <c r="J284" s="138"/>
      <c r="K284" s="139"/>
      <c r="L284" s="139"/>
      <c r="M284" s="139"/>
      <c r="N284" s="140"/>
      <c r="O284" s="140"/>
      <c r="P284" s="140"/>
      <c r="Q284" s="140"/>
      <c r="R284" s="140"/>
      <c r="S284" s="141"/>
      <c r="T284" s="140"/>
      <c r="U284" s="140"/>
      <c r="V284" s="140"/>
      <c r="W284" s="140"/>
      <c r="X284" s="142"/>
      <c r="Y284" s="143"/>
    </row>
    <row r="285">
      <c r="A285" s="135"/>
      <c r="B285" s="135"/>
      <c r="C285" s="135"/>
      <c r="D285" s="136"/>
      <c r="E285" s="135"/>
      <c r="F285" s="137"/>
      <c r="G285" s="138"/>
      <c r="H285" s="138"/>
      <c r="I285" s="138"/>
      <c r="J285" s="138"/>
      <c r="K285" s="139"/>
      <c r="L285" s="139"/>
      <c r="M285" s="139"/>
      <c r="N285" s="140"/>
      <c r="O285" s="140"/>
      <c r="P285" s="140"/>
      <c r="Q285" s="140"/>
      <c r="R285" s="140"/>
      <c r="S285" s="141"/>
      <c r="T285" s="140"/>
      <c r="U285" s="140"/>
      <c r="V285" s="140"/>
      <c r="W285" s="140"/>
      <c r="X285" s="142"/>
      <c r="Y285" s="143"/>
    </row>
    <row r="286">
      <c r="A286" s="135"/>
      <c r="B286" s="135"/>
      <c r="C286" s="135"/>
      <c r="D286" s="136"/>
      <c r="E286" s="135"/>
      <c r="F286" s="137"/>
      <c r="G286" s="138"/>
      <c r="H286" s="138"/>
      <c r="I286" s="138"/>
      <c r="J286" s="138"/>
      <c r="K286" s="139"/>
      <c r="L286" s="139"/>
      <c r="M286" s="139"/>
      <c r="N286" s="140"/>
      <c r="O286" s="140"/>
      <c r="P286" s="140"/>
      <c r="Q286" s="140"/>
      <c r="R286" s="140"/>
      <c r="S286" s="141"/>
      <c r="T286" s="140"/>
      <c r="U286" s="140"/>
      <c r="V286" s="140"/>
      <c r="W286" s="140"/>
      <c r="X286" s="142"/>
      <c r="Y286" s="143"/>
    </row>
    <row r="287">
      <c r="A287" s="135"/>
      <c r="B287" s="135"/>
      <c r="C287" s="135"/>
      <c r="D287" s="136"/>
      <c r="E287" s="135"/>
      <c r="F287" s="137"/>
      <c r="G287" s="138"/>
      <c r="H287" s="138"/>
      <c r="I287" s="138"/>
      <c r="J287" s="138"/>
      <c r="K287" s="139"/>
      <c r="L287" s="139"/>
      <c r="M287" s="139"/>
      <c r="N287" s="140"/>
      <c r="O287" s="140"/>
      <c r="P287" s="140"/>
      <c r="Q287" s="140"/>
      <c r="R287" s="140"/>
      <c r="S287" s="141"/>
      <c r="T287" s="140"/>
      <c r="U287" s="140"/>
      <c r="V287" s="140"/>
      <c r="W287" s="140"/>
      <c r="X287" s="142"/>
      <c r="Y287" s="143"/>
    </row>
    <row r="288">
      <c r="A288" s="135"/>
      <c r="B288" s="135"/>
      <c r="C288" s="135"/>
      <c r="D288" s="136"/>
      <c r="E288" s="135"/>
      <c r="F288" s="137"/>
      <c r="G288" s="138"/>
      <c r="H288" s="138"/>
      <c r="I288" s="138"/>
      <c r="J288" s="138"/>
      <c r="K288" s="139"/>
      <c r="L288" s="139"/>
      <c r="M288" s="139"/>
      <c r="N288" s="140"/>
      <c r="O288" s="140"/>
      <c r="P288" s="140"/>
      <c r="Q288" s="140"/>
      <c r="R288" s="140"/>
      <c r="S288" s="141"/>
      <c r="T288" s="140"/>
      <c r="U288" s="140"/>
      <c r="V288" s="140"/>
      <c r="W288" s="140"/>
      <c r="X288" s="142"/>
      <c r="Y288" s="143"/>
    </row>
    <row r="289">
      <c r="A289" s="135"/>
      <c r="B289" s="135"/>
      <c r="C289" s="135"/>
      <c r="D289" s="136"/>
      <c r="E289" s="135"/>
      <c r="F289" s="137"/>
      <c r="G289" s="138"/>
      <c r="H289" s="138"/>
      <c r="I289" s="138"/>
      <c r="J289" s="138"/>
      <c r="K289" s="139"/>
      <c r="L289" s="139"/>
      <c r="M289" s="139"/>
      <c r="N289" s="140"/>
      <c r="O289" s="140"/>
      <c r="P289" s="140"/>
      <c r="Q289" s="140"/>
      <c r="R289" s="140"/>
      <c r="S289" s="141"/>
      <c r="T289" s="140"/>
      <c r="U289" s="140"/>
      <c r="V289" s="140"/>
      <c r="W289" s="140"/>
      <c r="X289" s="142"/>
      <c r="Y289" s="143"/>
    </row>
    <row r="290">
      <c r="A290" s="135"/>
      <c r="B290" s="135"/>
      <c r="C290" s="135"/>
      <c r="D290" s="136"/>
      <c r="E290" s="135"/>
      <c r="F290" s="137"/>
      <c r="G290" s="138"/>
      <c r="H290" s="138"/>
      <c r="I290" s="138"/>
      <c r="J290" s="138"/>
      <c r="K290" s="139"/>
      <c r="L290" s="139"/>
      <c r="M290" s="139"/>
      <c r="N290" s="140"/>
      <c r="O290" s="140"/>
      <c r="P290" s="140"/>
      <c r="Q290" s="140"/>
      <c r="R290" s="140"/>
      <c r="S290" s="141"/>
      <c r="T290" s="140"/>
      <c r="U290" s="140"/>
      <c r="V290" s="140"/>
      <c r="W290" s="140"/>
      <c r="X290" s="142"/>
      <c r="Y290" s="143"/>
    </row>
    <row r="291">
      <c r="A291" s="135"/>
      <c r="B291" s="135"/>
      <c r="C291" s="135"/>
      <c r="D291" s="136"/>
      <c r="E291" s="135"/>
      <c r="F291" s="137"/>
      <c r="G291" s="138"/>
      <c r="H291" s="138"/>
      <c r="I291" s="138"/>
      <c r="J291" s="138"/>
      <c r="K291" s="139"/>
      <c r="L291" s="139"/>
      <c r="M291" s="139"/>
      <c r="N291" s="140"/>
      <c r="O291" s="140"/>
      <c r="P291" s="140"/>
      <c r="Q291" s="140"/>
      <c r="R291" s="140"/>
      <c r="S291" s="141"/>
      <c r="T291" s="140"/>
      <c r="U291" s="140"/>
      <c r="V291" s="140"/>
      <c r="W291" s="140"/>
      <c r="X291" s="142"/>
      <c r="Y291" s="143"/>
    </row>
    <row r="292">
      <c r="A292" s="135"/>
      <c r="B292" s="135"/>
      <c r="C292" s="135"/>
      <c r="D292" s="136"/>
      <c r="E292" s="135"/>
      <c r="F292" s="137"/>
      <c r="G292" s="138"/>
      <c r="H292" s="138"/>
      <c r="I292" s="138"/>
      <c r="J292" s="138"/>
      <c r="K292" s="139"/>
      <c r="L292" s="139"/>
      <c r="M292" s="139"/>
      <c r="N292" s="140"/>
      <c r="O292" s="140"/>
      <c r="P292" s="140"/>
      <c r="Q292" s="140"/>
      <c r="R292" s="140"/>
      <c r="S292" s="141"/>
      <c r="T292" s="140"/>
      <c r="U292" s="140"/>
      <c r="V292" s="140"/>
      <c r="W292" s="140"/>
      <c r="X292" s="142"/>
      <c r="Y292" s="143"/>
    </row>
    <row r="293">
      <c r="A293" s="135"/>
      <c r="B293" s="135"/>
      <c r="C293" s="135"/>
      <c r="D293" s="136"/>
      <c r="E293" s="135"/>
      <c r="F293" s="137"/>
      <c r="G293" s="138"/>
      <c r="H293" s="138"/>
      <c r="I293" s="138"/>
      <c r="J293" s="138"/>
      <c r="K293" s="139"/>
      <c r="L293" s="139"/>
      <c r="M293" s="139"/>
      <c r="N293" s="140"/>
      <c r="O293" s="140"/>
      <c r="P293" s="140"/>
      <c r="Q293" s="140"/>
      <c r="R293" s="140"/>
      <c r="S293" s="141"/>
      <c r="T293" s="140"/>
      <c r="U293" s="140"/>
      <c r="V293" s="140"/>
      <c r="W293" s="140"/>
      <c r="X293" s="142"/>
      <c r="Y293" s="143"/>
    </row>
    <row r="294">
      <c r="A294" s="135"/>
      <c r="B294" s="135"/>
      <c r="C294" s="135"/>
      <c r="D294" s="136"/>
      <c r="E294" s="135"/>
      <c r="F294" s="137"/>
      <c r="G294" s="138"/>
      <c r="H294" s="138"/>
      <c r="I294" s="138"/>
      <c r="J294" s="138"/>
      <c r="K294" s="139"/>
      <c r="L294" s="139"/>
      <c r="M294" s="139"/>
      <c r="N294" s="140"/>
      <c r="O294" s="140"/>
      <c r="P294" s="140"/>
      <c r="Q294" s="140"/>
      <c r="R294" s="140"/>
      <c r="S294" s="141"/>
      <c r="T294" s="140"/>
      <c r="U294" s="140"/>
      <c r="V294" s="140"/>
      <c r="W294" s="140"/>
      <c r="X294" s="142"/>
      <c r="Y294" s="143"/>
    </row>
    <row r="295">
      <c r="A295" s="135"/>
      <c r="B295" s="135"/>
      <c r="C295" s="135"/>
      <c r="D295" s="136"/>
      <c r="E295" s="135"/>
      <c r="F295" s="137"/>
      <c r="G295" s="138"/>
      <c r="H295" s="138"/>
      <c r="I295" s="138"/>
      <c r="J295" s="138"/>
      <c r="K295" s="139"/>
      <c r="L295" s="139"/>
      <c r="M295" s="139"/>
      <c r="N295" s="140"/>
      <c r="O295" s="140"/>
      <c r="P295" s="140"/>
      <c r="Q295" s="140"/>
      <c r="R295" s="140"/>
      <c r="S295" s="141"/>
      <c r="T295" s="140"/>
      <c r="U295" s="140"/>
      <c r="V295" s="140"/>
      <c r="W295" s="140"/>
      <c r="X295" s="142"/>
      <c r="Y295" s="143"/>
    </row>
    <row r="296">
      <c r="A296" s="135"/>
      <c r="B296" s="135"/>
      <c r="C296" s="135"/>
      <c r="D296" s="136"/>
      <c r="E296" s="135"/>
      <c r="F296" s="137"/>
      <c r="G296" s="138"/>
      <c r="H296" s="138"/>
      <c r="I296" s="138"/>
      <c r="J296" s="138"/>
      <c r="K296" s="139"/>
      <c r="L296" s="139"/>
      <c r="M296" s="139"/>
      <c r="N296" s="140"/>
      <c r="O296" s="140"/>
      <c r="P296" s="140"/>
      <c r="Q296" s="140"/>
      <c r="R296" s="140"/>
      <c r="S296" s="141"/>
      <c r="T296" s="140"/>
      <c r="U296" s="140"/>
      <c r="V296" s="140"/>
      <c r="W296" s="140"/>
      <c r="X296" s="142"/>
      <c r="Y296" s="143"/>
    </row>
    <row r="297">
      <c r="A297" s="135"/>
      <c r="B297" s="135"/>
      <c r="C297" s="135"/>
      <c r="D297" s="136"/>
      <c r="E297" s="135"/>
      <c r="F297" s="137"/>
      <c r="G297" s="138"/>
      <c r="H297" s="138"/>
      <c r="I297" s="138"/>
      <c r="J297" s="138"/>
      <c r="K297" s="139"/>
      <c r="L297" s="139"/>
      <c r="M297" s="139"/>
      <c r="N297" s="140"/>
      <c r="O297" s="140"/>
      <c r="P297" s="140"/>
      <c r="Q297" s="140"/>
      <c r="R297" s="140"/>
      <c r="S297" s="141"/>
      <c r="T297" s="140"/>
      <c r="U297" s="140"/>
      <c r="V297" s="140"/>
      <c r="W297" s="140"/>
      <c r="X297" s="142"/>
      <c r="Y297" s="143"/>
    </row>
    <row r="298">
      <c r="A298" s="135"/>
      <c r="B298" s="135"/>
      <c r="C298" s="135"/>
      <c r="D298" s="136"/>
      <c r="E298" s="135"/>
      <c r="F298" s="137"/>
      <c r="G298" s="138"/>
      <c r="H298" s="138"/>
      <c r="I298" s="138"/>
      <c r="J298" s="138"/>
      <c r="K298" s="139"/>
      <c r="L298" s="139"/>
      <c r="M298" s="139"/>
      <c r="N298" s="140"/>
      <c r="O298" s="140"/>
      <c r="P298" s="140"/>
      <c r="Q298" s="140"/>
      <c r="R298" s="140"/>
      <c r="S298" s="141"/>
      <c r="T298" s="140"/>
      <c r="U298" s="140"/>
      <c r="V298" s="140"/>
      <c r="W298" s="140"/>
      <c r="X298" s="142"/>
      <c r="Y298" s="143"/>
    </row>
    <row r="299">
      <c r="A299" s="135"/>
      <c r="B299" s="135"/>
      <c r="C299" s="135"/>
      <c r="D299" s="136"/>
      <c r="E299" s="135"/>
      <c r="F299" s="137"/>
      <c r="G299" s="138"/>
      <c r="H299" s="138"/>
      <c r="I299" s="138"/>
      <c r="J299" s="138"/>
      <c r="K299" s="139"/>
      <c r="L299" s="139"/>
      <c r="M299" s="139"/>
      <c r="N299" s="140"/>
      <c r="O299" s="140"/>
      <c r="P299" s="140"/>
      <c r="Q299" s="140"/>
      <c r="R299" s="140"/>
      <c r="S299" s="141"/>
      <c r="T299" s="140"/>
      <c r="U299" s="140"/>
      <c r="V299" s="140"/>
      <c r="W299" s="140"/>
      <c r="X299" s="142"/>
      <c r="Y299" s="143"/>
    </row>
    <row r="300">
      <c r="A300" s="135"/>
      <c r="B300" s="135"/>
      <c r="C300" s="135"/>
      <c r="D300" s="136"/>
      <c r="E300" s="135"/>
      <c r="F300" s="137"/>
      <c r="G300" s="138"/>
      <c r="H300" s="138"/>
      <c r="I300" s="138"/>
      <c r="J300" s="138"/>
      <c r="K300" s="139"/>
      <c r="L300" s="139"/>
      <c r="M300" s="139"/>
      <c r="N300" s="140"/>
      <c r="O300" s="140"/>
      <c r="P300" s="140"/>
      <c r="Q300" s="140"/>
      <c r="R300" s="140"/>
      <c r="S300" s="141"/>
      <c r="T300" s="140"/>
      <c r="U300" s="140"/>
      <c r="V300" s="140"/>
      <c r="W300" s="140"/>
      <c r="X300" s="142"/>
      <c r="Y300" s="143"/>
    </row>
    <row r="301">
      <c r="A301" s="135"/>
      <c r="B301" s="135"/>
      <c r="C301" s="135"/>
      <c r="D301" s="136"/>
      <c r="E301" s="135"/>
      <c r="F301" s="137"/>
      <c r="G301" s="138"/>
      <c r="H301" s="138"/>
      <c r="I301" s="138"/>
      <c r="J301" s="138"/>
      <c r="K301" s="139"/>
      <c r="L301" s="139"/>
      <c r="M301" s="139"/>
      <c r="N301" s="140"/>
      <c r="O301" s="140"/>
      <c r="P301" s="140"/>
      <c r="Q301" s="140"/>
      <c r="R301" s="140"/>
      <c r="S301" s="141"/>
      <c r="T301" s="140"/>
      <c r="U301" s="140"/>
      <c r="V301" s="140"/>
      <c r="W301" s="140"/>
      <c r="X301" s="142"/>
      <c r="Y301" s="143"/>
    </row>
    <row r="302">
      <c r="A302" s="135"/>
      <c r="B302" s="135"/>
      <c r="C302" s="135"/>
      <c r="D302" s="136"/>
      <c r="E302" s="135"/>
      <c r="F302" s="137"/>
      <c r="G302" s="138"/>
      <c r="H302" s="138"/>
      <c r="I302" s="138"/>
      <c r="J302" s="138"/>
      <c r="K302" s="139"/>
      <c r="L302" s="139"/>
      <c r="M302" s="139"/>
      <c r="N302" s="140"/>
      <c r="O302" s="140"/>
      <c r="P302" s="140"/>
      <c r="Q302" s="140"/>
      <c r="R302" s="140"/>
      <c r="S302" s="141"/>
      <c r="T302" s="140"/>
      <c r="U302" s="140"/>
      <c r="V302" s="140"/>
      <c r="W302" s="140"/>
      <c r="X302" s="142"/>
      <c r="Y302" s="143"/>
    </row>
    <row r="303">
      <c r="A303" s="135"/>
      <c r="B303" s="135"/>
      <c r="C303" s="135"/>
      <c r="D303" s="136"/>
      <c r="E303" s="135"/>
      <c r="F303" s="137"/>
      <c r="G303" s="138"/>
      <c r="H303" s="138"/>
      <c r="I303" s="138"/>
      <c r="J303" s="138"/>
      <c r="K303" s="139"/>
      <c r="L303" s="139"/>
      <c r="M303" s="139"/>
      <c r="N303" s="140"/>
      <c r="O303" s="140"/>
      <c r="P303" s="140"/>
      <c r="Q303" s="140"/>
      <c r="R303" s="140"/>
      <c r="S303" s="141"/>
      <c r="T303" s="140"/>
      <c r="U303" s="140"/>
      <c r="V303" s="140"/>
      <c r="W303" s="140"/>
      <c r="X303" s="142"/>
      <c r="Y303" s="143"/>
    </row>
    <row r="304">
      <c r="A304" s="135"/>
      <c r="B304" s="135"/>
      <c r="C304" s="135"/>
      <c r="D304" s="136"/>
      <c r="E304" s="135"/>
      <c r="F304" s="137"/>
      <c r="G304" s="138"/>
      <c r="H304" s="138"/>
      <c r="I304" s="138"/>
      <c r="J304" s="138"/>
      <c r="K304" s="139"/>
      <c r="L304" s="139"/>
      <c r="M304" s="139"/>
      <c r="N304" s="140"/>
      <c r="O304" s="140"/>
      <c r="P304" s="140"/>
      <c r="Q304" s="140"/>
      <c r="R304" s="140"/>
      <c r="S304" s="141"/>
      <c r="T304" s="140"/>
      <c r="U304" s="140"/>
      <c r="V304" s="140"/>
      <c r="W304" s="140"/>
      <c r="X304" s="142"/>
      <c r="Y304" s="143"/>
    </row>
    <row r="305">
      <c r="A305" s="135"/>
      <c r="B305" s="135"/>
      <c r="C305" s="135"/>
      <c r="D305" s="136"/>
      <c r="E305" s="135"/>
      <c r="F305" s="137"/>
      <c r="G305" s="138"/>
      <c r="H305" s="138"/>
      <c r="I305" s="138"/>
      <c r="J305" s="138"/>
      <c r="K305" s="139"/>
      <c r="L305" s="139"/>
      <c r="M305" s="139"/>
      <c r="N305" s="140"/>
      <c r="O305" s="140"/>
      <c r="P305" s="140"/>
      <c r="Q305" s="140"/>
      <c r="R305" s="140"/>
      <c r="S305" s="141"/>
      <c r="T305" s="140"/>
      <c r="U305" s="140"/>
      <c r="V305" s="140"/>
      <c r="W305" s="140"/>
      <c r="X305" s="142"/>
      <c r="Y305" s="143"/>
    </row>
    <row r="306">
      <c r="A306" s="135"/>
      <c r="B306" s="135"/>
      <c r="C306" s="135"/>
      <c r="D306" s="136"/>
      <c r="E306" s="135"/>
      <c r="F306" s="137"/>
      <c r="G306" s="138"/>
      <c r="H306" s="138"/>
      <c r="I306" s="138"/>
      <c r="J306" s="138"/>
      <c r="K306" s="139"/>
      <c r="L306" s="139"/>
      <c r="M306" s="139"/>
      <c r="N306" s="140"/>
      <c r="O306" s="140"/>
      <c r="P306" s="140"/>
      <c r="Q306" s="140"/>
      <c r="R306" s="140"/>
      <c r="S306" s="141"/>
      <c r="T306" s="140"/>
      <c r="U306" s="140"/>
      <c r="V306" s="140"/>
      <c r="W306" s="140"/>
      <c r="X306" s="142"/>
      <c r="Y306" s="143"/>
    </row>
    <row r="307">
      <c r="A307" s="135"/>
      <c r="B307" s="135"/>
      <c r="C307" s="135"/>
      <c r="D307" s="136"/>
      <c r="E307" s="135"/>
      <c r="F307" s="137"/>
      <c r="G307" s="138"/>
      <c r="H307" s="138"/>
      <c r="I307" s="138"/>
      <c r="J307" s="138"/>
      <c r="K307" s="139"/>
      <c r="L307" s="139"/>
      <c r="M307" s="139"/>
      <c r="N307" s="140"/>
      <c r="O307" s="140"/>
      <c r="P307" s="140"/>
      <c r="Q307" s="140"/>
      <c r="R307" s="140"/>
      <c r="S307" s="141"/>
      <c r="T307" s="140"/>
      <c r="U307" s="140"/>
      <c r="V307" s="140"/>
      <c r="W307" s="140"/>
      <c r="X307" s="142"/>
      <c r="Y307" s="143"/>
    </row>
    <row r="308">
      <c r="A308" s="135"/>
      <c r="B308" s="135"/>
      <c r="C308" s="135"/>
      <c r="D308" s="136"/>
      <c r="E308" s="135"/>
      <c r="F308" s="137"/>
      <c r="G308" s="138"/>
      <c r="H308" s="138"/>
      <c r="I308" s="138"/>
      <c r="J308" s="138"/>
      <c r="K308" s="139"/>
      <c r="L308" s="139"/>
      <c r="M308" s="139"/>
      <c r="N308" s="140"/>
      <c r="O308" s="140"/>
      <c r="P308" s="140"/>
      <c r="Q308" s="140"/>
      <c r="R308" s="140"/>
      <c r="S308" s="141"/>
      <c r="T308" s="140"/>
      <c r="U308" s="140"/>
      <c r="V308" s="140"/>
      <c r="W308" s="140"/>
      <c r="X308" s="142"/>
      <c r="Y308" s="143"/>
    </row>
    <row r="309">
      <c r="A309" s="135"/>
      <c r="B309" s="135"/>
      <c r="C309" s="135"/>
      <c r="D309" s="136"/>
      <c r="E309" s="135"/>
      <c r="F309" s="137"/>
      <c r="G309" s="138"/>
      <c r="H309" s="138"/>
      <c r="I309" s="138"/>
      <c r="J309" s="138"/>
      <c r="K309" s="139"/>
      <c r="L309" s="139"/>
      <c r="M309" s="139"/>
      <c r="N309" s="140"/>
      <c r="O309" s="140"/>
      <c r="P309" s="140"/>
      <c r="Q309" s="140"/>
      <c r="R309" s="140"/>
      <c r="S309" s="141"/>
      <c r="T309" s="140"/>
      <c r="U309" s="140"/>
      <c r="V309" s="140"/>
      <c r="W309" s="140"/>
      <c r="X309" s="142"/>
      <c r="Y309" s="143"/>
    </row>
    <row r="310">
      <c r="A310" s="135"/>
      <c r="B310" s="135"/>
      <c r="C310" s="135"/>
      <c r="D310" s="136"/>
      <c r="E310" s="135"/>
      <c r="F310" s="137"/>
      <c r="G310" s="138"/>
      <c r="H310" s="138"/>
      <c r="I310" s="138"/>
      <c r="J310" s="138"/>
      <c r="K310" s="139"/>
      <c r="L310" s="139"/>
      <c r="M310" s="139"/>
      <c r="N310" s="140"/>
      <c r="O310" s="140"/>
      <c r="P310" s="140"/>
      <c r="Q310" s="140"/>
      <c r="R310" s="140"/>
      <c r="S310" s="141"/>
      <c r="T310" s="140"/>
      <c r="U310" s="140"/>
      <c r="V310" s="140"/>
      <c r="W310" s="140"/>
      <c r="X310" s="142"/>
      <c r="Y310" s="143"/>
    </row>
    <row r="311">
      <c r="A311" s="135"/>
      <c r="B311" s="135"/>
      <c r="C311" s="135"/>
      <c r="D311" s="136"/>
      <c r="E311" s="135"/>
      <c r="F311" s="137"/>
      <c r="G311" s="138"/>
      <c r="H311" s="138"/>
      <c r="I311" s="138"/>
      <c r="J311" s="138"/>
      <c r="K311" s="139"/>
      <c r="L311" s="139"/>
      <c r="M311" s="139"/>
      <c r="N311" s="140"/>
      <c r="O311" s="140"/>
      <c r="P311" s="140"/>
      <c r="Q311" s="140"/>
      <c r="R311" s="140"/>
      <c r="S311" s="141"/>
      <c r="T311" s="140"/>
      <c r="U311" s="140"/>
      <c r="V311" s="140"/>
      <c r="W311" s="140"/>
      <c r="X311" s="142"/>
      <c r="Y311" s="143"/>
    </row>
    <row r="312">
      <c r="A312" s="135"/>
      <c r="B312" s="135"/>
      <c r="C312" s="135"/>
      <c r="D312" s="136"/>
      <c r="E312" s="135"/>
      <c r="F312" s="137"/>
      <c r="G312" s="138"/>
      <c r="H312" s="138"/>
      <c r="I312" s="138"/>
      <c r="J312" s="138"/>
      <c r="K312" s="139"/>
      <c r="L312" s="139"/>
      <c r="M312" s="139"/>
      <c r="N312" s="140"/>
      <c r="O312" s="140"/>
      <c r="P312" s="140"/>
      <c r="Q312" s="140"/>
      <c r="R312" s="140"/>
      <c r="S312" s="141"/>
      <c r="T312" s="140"/>
      <c r="U312" s="140"/>
      <c r="V312" s="140"/>
      <c r="W312" s="140"/>
      <c r="X312" s="142"/>
      <c r="Y312" s="143"/>
    </row>
    <row r="313">
      <c r="A313" s="135"/>
      <c r="B313" s="135"/>
      <c r="C313" s="135"/>
      <c r="D313" s="136"/>
      <c r="E313" s="135"/>
      <c r="F313" s="137"/>
      <c r="G313" s="138"/>
      <c r="H313" s="138"/>
      <c r="I313" s="138"/>
      <c r="J313" s="138"/>
      <c r="K313" s="139"/>
      <c r="L313" s="139"/>
      <c r="M313" s="139"/>
      <c r="N313" s="140"/>
      <c r="O313" s="140"/>
      <c r="P313" s="140"/>
      <c r="Q313" s="140"/>
      <c r="R313" s="140"/>
      <c r="S313" s="141"/>
      <c r="T313" s="140"/>
      <c r="U313" s="140"/>
      <c r="V313" s="140"/>
      <c r="W313" s="140"/>
      <c r="X313" s="142"/>
      <c r="Y313" s="143"/>
    </row>
    <row r="314">
      <c r="A314" s="135"/>
      <c r="B314" s="135"/>
      <c r="C314" s="135"/>
      <c r="D314" s="136"/>
      <c r="E314" s="135"/>
      <c r="F314" s="137"/>
      <c r="G314" s="138"/>
      <c r="H314" s="138"/>
      <c r="I314" s="138"/>
      <c r="J314" s="138"/>
      <c r="K314" s="139"/>
      <c r="L314" s="139"/>
      <c r="M314" s="139"/>
      <c r="N314" s="140"/>
      <c r="O314" s="140"/>
      <c r="P314" s="140"/>
      <c r="Q314" s="140"/>
      <c r="R314" s="140"/>
      <c r="S314" s="141"/>
      <c r="T314" s="140"/>
      <c r="U314" s="140"/>
      <c r="V314" s="140"/>
      <c r="W314" s="140"/>
      <c r="X314" s="142"/>
      <c r="Y314" s="143"/>
    </row>
    <row r="315">
      <c r="A315" s="135"/>
      <c r="B315" s="135"/>
      <c r="C315" s="135"/>
      <c r="D315" s="136"/>
      <c r="E315" s="135"/>
      <c r="F315" s="137"/>
      <c r="G315" s="138"/>
      <c r="H315" s="138"/>
      <c r="I315" s="138"/>
      <c r="J315" s="138"/>
      <c r="K315" s="139"/>
      <c r="L315" s="139"/>
      <c r="M315" s="139"/>
      <c r="N315" s="140"/>
      <c r="O315" s="140"/>
      <c r="P315" s="140"/>
      <c r="Q315" s="140"/>
      <c r="R315" s="140"/>
      <c r="S315" s="141"/>
      <c r="T315" s="140"/>
      <c r="U315" s="140"/>
      <c r="V315" s="140"/>
      <c r="W315" s="140"/>
      <c r="X315" s="142"/>
      <c r="Y315" s="143"/>
    </row>
    <row r="316">
      <c r="A316" s="135"/>
      <c r="B316" s="135"/>
      <c r="C316" s="135"/>
      <c r="D316" s="136"/>
      <c r="E316" s="135"/>
      <c r="F316" s="137"/>
      <c r="G316" s="138"/>
      <c r="H316" s="138"/>
      <c r="I316" s="138"/>
      <c r="J316" s="138"/>
      <c r="K316" s="139"/>
      <c r="L316" s="139"/>
      <c r="M316" s="139"/>
      <c r="N316" s="140"/>
      <c r="O316" s="140"/>
      <c r="P316" s="140"/>
      <c r="Q316" s="140"/>
      <c r="R316" s="140"/>
      <c r="S316" s="141"/>
      <c r="T316" s="140"/>
      <c r="U316" s="140"/>
      <c r="V316" s="140"/>
      <c r="W316" s="140"/>
      <c r="X316" s="142"/>
      <c r="Y316" s="143"/>
    </row>
    <row r="317">
      <c r="A317" s="135"/>
      <c r="B317" s="135"/>
      <c r="C317" s="135"/>
      <c r="D317" s="136"/>
      <c r="E317" s="135"/>
      <c r="F317" s="137"/>
      <c r="G317" s="138"/>
      <c r="H317" s="138"/>
      <c r="I317" s="138"/>
      <c r="J317" s="138"/>
      <c r="K317" s="139"/>
      <c r="L317" s="139"/>
      <c r="M317" s="139"/>
      <c r="N317" s="140"/>
      <c r="O317" s="140"/>
      <c r="P317" s="140"/>
      <c r="Q317" s="140"/>
      <c r="R317" s="140"/>
      <c r="S317" s="141"/>
      <c r="T317" s="140"/>
      <c r="U317" s="140"/>
      <c r="V317" s="140"/>
      <c r="W317" s="140"/>
      <c r="X317" s="142"/>
      <c r="Y317" s="143"/>
    </row>
    <row r="318">
      <c r="A318" s="135"/>
      <c r="B318" s="135"/>
      <c r="C318" s="135"/>
      <c r="D318" s="136"/>
      <c r="E318" s="135"/>
      <c r="F318" s="137"/>
      <c r="G318" s="138"/>
      <c r="H318" s="138"/>
      <c r="I318" s="138"/>
      <c r="J318" s="138"/>
      <c r="K318" s="139"/>
      <c r="L318" s="139"/>
      <c r="M318" s="139"/>
      <c r="N318" s="140"/>
      <c r="O318" s="140"/>
      <c r="P318" s="140"/>
      <c r="Q318" s="140"/>
      <c r="R318" s="140"/>
      <c r="S318" s="141"/>
      <c r="T318" s="140"/>
      <c r="U318" s="140"/>
      <c r="V318" s="140"/>
      <c r="W318" s="140"/>
      <c r="X318" s="142"/>
      <c r="Y318" s="143"/>
    </row>
    <row r="319">
      <c r="A319" s="135"/>
      <c r="B319" s="135"/>
      <c r="C319" s="135"/>
      <c r="D319" s="136"/>
      <c r="E319" s="135"/>
      <c r="F319" s="137"/>
      <c r="G319" s="138"/>
      <c r="H319" s="138"/>
      <c r="I319" s="138"/>
      <c r="J319" s="138"/>
      <c r="K319" s="139"/>
      <c r="L319" s="139"/>
      <c r="M319" s="139"/>
      <c r="N319" s="140"/>
      <c r="O319" s="140"/>
      <c r="P319" s="140"/>
      <c r="Q319" s="140"/>
      <c r="R319" s="140"/>
      <c r="S319" s="141"/>
      <c r="T319" s="140"/>
      <c r="U319" s="140"/>
      <c r="V319" s="140"/>
      <c r="W319" s="140"/>
      <c r="X319" s="142"/>
      <c r="Y319" s="143"/>
    </row>
    <row r="320">
      <c r="A320" s="135"/>
      <c r="B320" s="135"/>
      <c r="C320" s="135"/>
      <c r="D320" s="136"/>
      <c r="E320" s="135"/>
      <c r="F320" s="137"/>
      <c r="G320" s="138"/>
      <c r="H320" s="138"/>
      <c r="I320" s="138"/>
      <c r="J320" s="138"/>
      <c r="K320" s="139"/>
      <c r="L320" s="139"/>
      <c r="M320" s="139"/>
      <c r="N320" s="140"/>
      <c r="O320" s="140"/>
      <c r="P320" s="140"/>
      <c r="Q320" s="140"/>
      <c r="R320" s="140"/>
      <c r="S320" s="141"/>
      <c r="T320" s="140"/>
      <c r="U320" s="140"/>
      <c r="V320" s="140"/>
      <c r="W320" s="140"/>
      <c r="X320" s="142"/>
      <c r="Y320" s="143"/>
    </row>
    <row r="321">
      <c r="A321" s="135"/>
      <c r="B321" s="135"/>
      <c r="C321" s="135"/>
      <c r="D321" s="136"/>
      <c r="E321" s="135"/>
      <c r="F321" s="137"/>
      <c r="G321" s="138"/>
      <c r="H321" s="138"/>
      <c r="I321" s="138"/>
      <c r="J321" s="138"/>
      <c r="K321" s="139"/>
      <c r="L321" s="139"/>
      <c r="M321" s="139"/>
      <c r="N321" s="140"/>
      <c r="O321" s="140"/>
      <c r="P321" s="140"/>
      <c r="Q321" s="140"/>
      <c r="R321" s="140"/>
      <c r="S321" s="141"/>
      <c r="T321" s="140"/>
      <c r="U321" s="140"/>
      <c r="V321" s="140"/>
      <c r="W321" s="140"/>
      <c r="X321" s="142"/>
      <c r="Y321" s="143"/>
    </row>
    <row r="322">
      <c r="A322" s="135"/>
      <c r="B322" s="135"/>
      <c r="C322" s="135"/>
      <c r="D322" s="136"/>
      <c r="E322" s="135"/>
      <c r="F322" s="137"/>
      <c r="G322" s="138"/>
      <c r="H322" s="138"/>
      <c r="I322" s="138"/>
      <c r="J322" s="138"/>
      <c r="K322" s="139"/>
      <c r="L322" s="139"/>
      <c r="M322" s="139"/>
      <c r="N322" s="140"/>
      <c r="O322" s="140"/>
      <c r="P322" s="140"/>
      <c r="Q322" s="140"/>
      <c r="R322" s="140"/>
      <c r="S322" s="141"/>
      <c r="T322" s="140"/>
      <c r="U322" s="140"/>
      <c r="V322" s="140"/>
      <c r="W322" s="140"/>
      <c r="X322" s="142"/>
      <c r="Y322" s="143"/>
    </row>
    <row r="323">
      <c r="A323" s="135"/>
      <c r="B323" s="135"/>
      <c r="C323" s="135"/>
      <c r="D323" s="136"/>
      <c r="E323" s="135"/>
      <c r="F323" s="137"/>
      <c r="G323" s="138"/>
      <c r="H323" s="138"/>
      <c r="I323" s="138"/>
      <c r="J323" s="138"/>
      <c r="K323" s="139"/>
      <c r="L323" s="139"/>
      <c r="M323" s="139"/>
      <c r="N323" s="140"/>
      <c r="O323" s="140"/>
      <c r="P323" s="140"/>
      <c r="Q323" s="140"/>
      <c r="R323" s="140"/>
      <c r="S323" s="141"/>
      <c r="T323" s="140"/>
      <c r="U323" s="140"/>
      <c r="V323" s="140"/>
      <c r="W323" s="140"/>
      <c r="X323" s="142"/>
      <c r="Y323" s="143"/>
    </row>
    <row r="324">
      <c r="A324" s="135"/>
      <c r="B324" s="135"/>
      <c r="C324" s="135"/>
      <c r="D324" s="136"/>
      <c r="E324" s="135"/>
      <c r="F324" s="137"/>
      <c r="G324" s="138"/>
      <c r="H324" s="138"/>
      <c r="I324" s="138"/>
      <c r="J324" s="138"/>
      <c r="K324" s="139"/>
      <c r="L324" s="139"/>
      <c r="M324" s="139"/>
      <c r="N324" s="140"/>
      <c r="O324" s="140"/>
      <c r="P324" s="140"/>
      <c r="Q324" s="140"/>
      <c r="R324" s="140"/>
      <c r="S324" s="141"/>
      <c r="T324" s="140"/>
      <c r="U324" s="140"/>
      <c r="V324" s="140"/>
      <c r="W324" s="140"/>
      <c r="X324" s="142"/>
      <c r="Y324" s="143"/>
    </row>
    <row r="325">
      <c r="A325" s="135"/>
      <c r="B325" s="135"/>
      <c r="C325" s="135"/>
      <c r="D325" s="136"/>
      <c r="E325" s="135"/>
      <c r="F325" s="137"/>
      <c r="G325" s="138"/>
      <c r="H325" s="138"/>
      <c r="I325" s="138"/>
      <c r="J325" s="138"/>
      <c r="K325" s="139"/>
      <c r="L325" s="139"/>
      <c r="M325" s="139"/>
      <c r="N325" s="140"/>
      <c r="O325" s="140"/>
      <c r="P325" s="140"/>
      <c r="Q325" s="140"/>
      <c r="R325" s="140"/>
      <c r="S325" s="141"/>
      <c r="T325" s="140"/>
      <c r="U325" s="140"/>
      <c r="V325" s="140"/>
      <c r="W325" s="140"/>
      <c r="X325" s="142"/>
      <c r="Y325" s="143"/>
    </row>
    <row r="326">
      <c r="A326" s="135"/>
      <c r="B326" s="135"/>
      <c r="C326" s="135"/>
      <c r="D326" s="136"/>
      <c r="E326" s="135"/>
      <c r="F326" s="137"/>
      <c r="G326" s="138"/>
      <c r="H326" s="138"/>
      <c r="I326" s="138"/>
      <c r="J326" s="138"/>
      <c r="K326" s="139"/>
      <c r="L326" s="139"/>
      <c r="M326" s="139"/>
      <c r="N326" s="140"/>
      <c r="O326" s="140"/>
      <c r="P326" s="140"/>
      <c r="Q326" s="140"/>
      <c r="R326" s="140"/>
      <c r="S326" s="141"/>
      <c r="T326" s="140"/>
      <c r="U326" s="140"/>
      <c r="V326" s="140"/>
      <c r="W326" s="140"/>
      <c r="X326" s="142"/>
      <c r="Y326" s="143"/>
    </row>
    <row r="327">
      <c r="A327" s="135"/>
      <c r="B327" s="135"/>
      <c r="C327" s="135"/>
      <c r="D327" s="136"/>
      <c r="E327" s="135"/>
      <c r="F327" s="137"/>
      <c r="G327" s="138"/>
      <c r="H327" s="138"/>
      <c r="I327" s="138"/>
      <c r="J327" s="138"/>
      <c r="K327" s="139"/>
      <c r="L327" s="139"/>
      <c r="M327" s="139"/>
      <c r="N327" s="140"/>
      <c r="O327" s="140"/>
      <c r="P327" s="140"/>
      <c r="Q327" s="140"/>
      <c r="R327" s="140"/>
      <c r="S327" s="141"/>
      <c r="T327" s="140"/>
      <c r="U327" s="140"/>
      <c r="V327" s="140"/>
      <c r="W327" s="140"/>
      <c r="X327" s="142"/>
      <c r="Y327" s="143"/>
    </row>
    <row r="328">
      <c r="A328" s="135"/>
      <c r="B328" s="135"/>
      <c r="C328" s="135"/>
      <c r="D328" s="136"/>
      <c r="E328" s="135"/>
      <c r="F328" s="137"/>
      <c r="G328" s="138"/>
      <c r="H328" s="138"/>
      <c r="I328" s="138"/>
      <c r="J328" s="138"/>
      <c r="K328" s="139"/>
      <c r="L328" s="139"/>
      <c r="M328" s="139"/>
      <c r="N328" s="140"/>
      <c r="O328" s="140"/>
      <c r="P328" s="140"/>
      <c r="Q328" s="140"/>
      <c r="R328" s="140"/>
      <c r="S328" s="141"/>
      <c r="T328" s="140"/>
      <c r="U328" s="140"/>
      <c r="V328" s="140"/>
      <c r="W328" s="140"/>
      <c r="X328" s="142"/>
      <c r="Y328" s="143"/>
    </row>
    <row r="329">
      <c r="A329" s="135"/>
      <c r="B329" s="135"/>
      <c r="C329" s="135"/>
      <c r="D329" s="136"/>
      <c r="E329" s="135"/>
      <c r="F329" s="137"/>
      <c r="G329" s="138"/>
      <c r="H329" s="138"/>
      <c r="I329" s="138"/>
      <c r="J329" s="138"/>
      <c r="K329" s="139"/>
      <c r="L329" s="139"/>
      <c r="M329" s="139"/>
      <c r="N329" s="140"/>
      <c r="O329" s="140"/>
      <c r="P329" s="140"/>
      <c r="Q329" s="140"/>
      <c r="R329" s="140"/>
      <c r="S329" s="141"/>
      <c r="T329" s="140"/>
      <c r="U329" s="140"/>
      <c r="V329" s="140"/>
      <c r="W329" s="140"/>
      <c r="X329" s="142"/>
      <c r="Y329" s="143"/>
    </row>
    <row r="330">
      <c r="A330" s="135"/>
      <c r="B330" s="135"/>
      <c r="C330" s="135"/>
      <c r="D330" s="136"/>
      <c r="E330" s="135"/>
      <c r="F330" s="137"/>
      <c r="G330" s="138"/>
      <c r="H330" s="138"/>
      <c r="I330" s="138"/>
      <c r="J330" s="138"/>
      <c r="K330" s="139"/>
      <c r="L330" s="139"/>
      <c r="M330" s="139"/>
      <c r="N330" s="140"/>
      <c r="O330" s="140"/>
      <c r="P330" s="140"/>
      <c r="Q330" s="140"/>
      <c r="R330" s="140"/>
      <c r="S330" s="141"/>
      <c r="T330" s="140"/>
      <c r="U330" s="140"/>
      <c r="V330" s="140"/>
      <c r="W330" s="140"/>
      <c r="X330" s="142"/>
      <c r="Y330" s="143"/>
    </row>
  </sheetData>
  <autoFilter ref="$A$5:$Y$330">
    <sortState ref="A5:Y330">
      <sortCondition ref="A5:A330"/>
      <sortCondition ref="E5:E330"/>
      <sortCondition ref="C5:C330"/>
      <sortCondition ref="D5:D330"/>
      <sortCondition ref="O5:O330"/>
    </sortState>
  </autoFilter>
  <mergeCells count="1">
    <mergeCell ref="C3:Y3"/>
  </mergeCells>
  <conditionalFormatting sqref="A6:Y330">
    <cfRule type="expression" dxfId="7" priority="1">
      <formula>and(weekday($D6)=7, $D6&lt;&gt;$E$1, $D6&lt;&gt;$F$1, $D6&lt;&gt;$G$1)</formula>
    </cfRule>
  </conditionalFormatting>
  <conditionalFormatting sqref="A6:Y330">
    <cfRule type="expression" dxfId="8" priority="2">
      <formula>weekday($D6)=1</formula>
    </cfRule>
  </conditionalFormatting>
  <conditionalFormatting sqref="A6:Y330">
    <cfRule type="expression" dxfId="9" priority="3">
      <formula>$M6="CT"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75"/>
  <cols>
    <col customWidth="1" min="1" max="1" width="4.13"/>
    <col customWidth="1" min="2" max="2" width="6.5"/>
    <col customWidth="1" min="3" max="3" width="22.13"/>
    <col customWidth="1" min="4" max="4" width="6.63"/>
    <col customWidth="1" min="5" max="19" width="6.5"/>
    <col customWidth="1" min="20" max="20" width="15.0"/>
    <col customWidth="1" min="21" max="33" width="6.88"/>
  </cols>
  <sheetData>
    <row r="1">
      <c r="A1" s="145"/>
      <c r="B1" s="146"/>
      <c r="C1" s="82"/>
      <c r="D1" s="82"/>
      <c r="E1" s="147"/>
      <c r="F1" s="147"/>
      <c r="G1" s="147"/>
      <c r="H1" s="147" t="s">
        <v>269</v>
      </c>
    </row>
    <row r="2">
      <c r="A2" s="145"/>
      <c r="B2" s="146"/>
      <c r="C2" s="82"/>
      <c r="D2" s="82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9"/>
      <c r="R2" s="148"/>
      <c r="S2" s="148"/>
      <c r="T2" s="150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</row>
    <row r="3">
      <c r="A3" s="152"/>
      <c r="B3" s="153"/>
      <c r="C3" s="154"/>
      <c r="D3" s="154"/>
      <c r="E3" s="155"/>
      <c r="F3" s="155"/>
      <c r="G3" s="155"/>
      <c r="H3" s="156" t="s">
        <v>270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  <c r="T3" s="157" t="s">
        <v>271</v>
      </c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1"/>
    </row>
    <row r="4">
      <c r="A4" s="158" t="s">
        <v>22</v>
      </c>
      <c r="B4" s="159" t="s">
        <v>23</v>
      </c>
      <c r="C4" s="160" t="s">
        <v>24</v>
      </c>
      <c r="D4" s="160" t="s">
        <v>148</v>
      </c>
      <c r="E4" s="161" t="s">
        <v>272</v>
      </c>
      <c r="F4" s="161" t="s">
        <v>273</v>
      </c>
      <c r="G4" s="161" t="s">
        <v>274</v>
      </c>
      <c r="H4" s="162" t="s">
        <v>275</v>
      </c>
      <c r="I4" s="162" t="s">
        <v>276</v>
      </c>
      <c r="J4" s="162" t="s">
        <v>277</v>
      </c>
      <c r="K4" s="162" t="s">
        <v>278</v>
      </c>
      <c r="L4" s="162" t="s">
        <v>279</v>
      </c>
      <c r="M4" s="162" t="s">
        <v>280</v>
      </c>
      <c r="N4" s="162" t="s">
        <v>281</v>
      </c>
      <c r="O4" s="162" t="s">
        <v>282</v>
      </c>
      <c r="P4" s="162" t="s">
        <v>283</v>
      </c>
      <c r="Q4" s="162" t="s">
        <v>284</v>
      </c>
      <c r="R4" s="162" t="s">
        <v>285</v>
      </c>
      <c r="S4" s="162" t="s">
        <v>286</v>
      </c>
      <c r="T4" s="163" t="s">
        <v>287</v>
      </c>
      <c r="U4" s="164" t="s">
        <v>288</v>
      </c>
      <c r="V4" s="164" t="s">
        <v>289</v>
      </c>
      <c r="W4" s="165" t="s">
        <v>290</v>
      </c>
      <c r="X4" s="165" t="s">
        <v>291</v>
      </c>
      <c r="Y4" s="165" t="s">
        <v>292</v>
      </c>
      <c r="Z4" s="165" t="s">
        <v>293</v>
      </c>
      <c r="AA4" s="165" t="s">
        <v>294</v>
      </c>
      <c r="AB4" s="165" t="s">
        <v>295</v>
      </c>
      <c r="AC4" s="165" t="s">
        <v>296</v>
      </c>
      <c r="AD4" s="165" t="s">
        <v>297</v>
      </c>
      <c r="AE4" s="165" t="s">
        <v>298</v>
      </c>
      <c r="AF4" s="165" t="s">
        <v>299</v>
      </c>
      <c r="AG4" s="165" t="s">
        <v>300</v>
      </c>
    </row>
    <row r="5">
      <c r="A5" s="166" t="str">
        <f>IFERROR(__xludf.DUMMYFUNCTION("QUERY('Công T5'!A8:F89,""Select A, B, C, F"",1)"),"1")</f>
        <v>1</v>
      </c>
      <c r="B5" s="167" t="str">
        <f>IFERROR(__xludf.DUMMYFUNCTION("""COMPUTED_VALUE"""),"10001")</f>
        <v>10001</v>
      </c>
      <c r="C5" s="83" t="str">
        <f>IFERROR(__xludf.DUMMYFUNCTION("""COMPUTED_VALUE"""),"Nguyễn Văn Hiển")</f>
        <v>Nguyễn Văn Hiển</v>
      </c>
      <c r="D5" s="83" t="str">
        <f>IFERROR(__xludf.DUMMYFUNCTION("""COMPUTED_VALUE"""),"BLĐ")</f>
        <v>BLĐ</v>
      </c>
      <c r="E5" s="168">
        <f t="shared" ref="E5:E76" si="1">sum(U5:AG5)</f>
        <v>5</v>
      </c>
      <c r="F5" s="168">
        <f t="shared" ref="F5:F76" si="2">sum(H5:S5)</f>
        <v>2</v>
      </c>
      <c r="G5" s="168">
        <f t="shared" ref="G5:G76" si="3">E5-F5</f>
        <v>3</v>
      </c>
      <c r="H5" s="169"/>
      <c r="I5" s="169"/>
      <c r="J5" s="169"/>
      <c r="K5" s="169">
        <v>2.0</v>
      </c>
      <c r="L5" s="169">
        <f>VLOOKUP(B5,'Công T5'!$B$8:$AO$89,40,0)</f>
        <v>0</v>
      </c>
      <c r="M5" s="169"/>
      <c r="N5" s="169"/>
      <c r="O5" s="169"/>
      <c r="P5" s="169"/>
      <c r="Q5" s="169"/>
      <c r="R5" s="169"/>
      <c r="S5" s="169"/>
      <c r="T5" s="170">
        <v>41431.0</v>
      </c>
      <c r="U5" s="171">
        <f t="shared" ref="U5:U76" si="4">IFERROR(if(DATEDIF(T5,TODAY(),"Y")&gt;=3,1,0),0)</f>
        <v>1</v>
      </c>
      <c r="V5" s="172">
        <v>0.0</v>
      </c>
      <c r="W5" s="171"/>
      <c r="X5" s="172">
        <v>1.0</v>
      </c>
      <c r="Y5" s="172">
        <v>1.0</v>
      </c>
      <c r="Z5" s="172">
        <v>1.0</v>
      </c>
      <c r="AA5" s="172">
        <v>1.0</v>
      </c>
      <c r="AB5" s="171"/>
      <c r="AC5" s="171"/>
      <c r="AD5" s="171"/>
      <c r="AE5" s="171"/>
      <c r="AF5" s="171"/>
      <c r="AG5" s="171"/>
    </row>
    <row r="6">
      <c r="A6" s="166">
        <f>IFERROR(__xludf.DUMMYFUNCTION("""COMPUTED_VALUE"""),2.0)</f>
        <v>2</v>
      </c>
      <c r="B6" s="167">
        <f>IFERROR(__xludf.DUMMYFUNCTION("""COMPUTED_VALUE"""),10002.0)</f>
        <v>10002</v>
      </c>
      <c r="C6" s="83" t="str">
        <f>IFERROR(__xludf.DUMMYFUNCTION("""COMPUTED_VALUE"""),"Nguyễn Tiến Thành")</f>
        <v>Nguyễn Tiến Thành</v>
      </c>
      <c r="D6" s="83" t="str">
        <f>IFERROR(__xludf.DUMMYFUNCTION("""COMPUTED_VALUE"""),"BLĐ")</f>
        <v>BLĐ</v>
      </c>
      <c r="E6" s="168">
        <f t="shared" si="1"/>
        <v>5</v>
      </c>
      <c r="F6" s="168">
        <f t="shared" si="2"/>
        <v>1</v>
      </c>
      <c r="G6" s="168">
        <f t="shared" si="3"/>
        <v>4</v>
      </c>
      <c r="H6" s="169"/>
      <c r="I6" s="169"/>
      <c r="J6" s="169"/>
      <c r="K6" s="169">
        <v>1.0</v>
      </c>
      <c r="L6" s="169">
        <f>VLOOKUP(B6,'Công T5'!$B$8:$AO$89,40,0)</f>
        <v>0</v>
      </c>
      <c r="M6" s="169"/>
      <c r="N6" s="169"/>
      <c r="O6" s="169"/>
      <c r="P6" s="169"/>
      <c r="Q6" s="169"/>
      <c r="R6" s="169"/>
      <c r="S6" s="169"/>
      <c r="T6" s="170">
        <v>41431.0</v>
      </c>
      <c r="U6" s="171">
        <f t="shared" si="4"/>
        <v>1</v>
      </c>
      <c r="V6" s="171"/>
      <c r="W6" s="171"/>
      <c r="X6" s="172">
        <v>1.0</v>
      </c>
      <c r="Y6" s="172">
        <v>1.0</v>
      </c>
      <c r="Z6" s="172">
        <v>1.0</v>
      </c>
      <c r="AA6" s="172">
        <v>1.0</v>
      </c>
      <c r="AB6" s="171"/>
      <c r="AC6" s="171"/>
      <c r="AD6" s="171"/>
      <c r="AE6" s="171"/>
      <c r="AF6" s="171"/>
      <c r="AG6" s="171"/>
    </row>
    <row r="7">
      <c r="A7" s="166">
        <f>IFERROR(__xludf.DUMMYFUNCTION("""COMPUTED_VALUE"""),3.0)</f>
        <v>3</v>
      </c>
      <c r="B7" s="167">
        <f>IFERROR(__xludf.DUMMYFUNCTION("""COMPUTED_VALUE"""),10003.0)</f>
        <v>10003</v>
      </c>
      <c r="C7" s="83" t="str">
        <f>IFERROR(__xludf.DUMMYFUNCTION("""COMPUTED_VALUE"""),"Nguyễn Văn Công")</f>
        <v>Nguyễn Văn Công</v>
      </c>
      <c r="D7" s="83" t="str">
        <f>IFERROR(__xludf.DUMMYFUNCTION("""COMPUTED_VALUE"""),"BLĐ")</f>
        <v>BLĐ</v>
      </c>
      <c r="E7" s="168">
        <f t="shared" si="1"/>
        <v>5</v>
      </c>
      <c r="F7" s="168">
        <f t="shared" si="2"/>
        <v>1</v>
      </c>
      <c r="G7" s="168">
        <f t="shared" si="3"/>
        <v>4</v>
      </c>
      <c r="H7" s="169"/>
      <c r="I7" s="169"/>
      <c r="J7" s="169"/>
      <c r="K7" s="169">
        <v>1.0</v>
      </c>
      <c r="L7" s="169">
        <f>VLOOKUP(B7,'Công T5'!$B$8:$AO$89,40,0)</f>
        <v>0</v>
      </c>
      <c r="M7" s="169"/>
      <c r="N7" s="169"/>
      <c r="O7" s="169"/>
      <c r="P7" s="169"/>
      <c r="Q7" s="169"/>
      <c r="R7" s="169"/>
      <c r="S7" s="169"/>
      <c r="T7" s="170">
        <v>41431.0</v>
      </c>
      <c r="U7" s="171">
        <f t="shared" si="4"/>
        <v>1</v>
      </c>
      <c r="V7" s="171"/>
      <c r="W7" s="171"/>
      <c r="X7" s="172">
        <v>1.0</v>
      </c>
      <c r="Y7" s="172">
        <v>1.0</v>
      </c>
      <c r="Z7" s="172">
        <v>1.0</v>
      </c>
      <c r="AA7" s="172">
        <v>1.0</v>
      </c>
      <c r="AB7" s="171"/>
      <c r="AC7" s="171"/>
      <c r="AD7" s="171"/>
      <c r="AE7" s="171"/>
      <c r="AF7" s="171"/>
      <c r="AG7" s="171"/>
    </row>
    <row r="8">
      <c r="A8" s="166">
        <f>IFERROR(__xludf.DUMMYFUNCTION("""COMPUTED_VALUE"""),4.0)</f>
        <v>4</v>
      </c>
      <c r="B8" s="167">
        <f>IFERROR(__xludf.DUMMYFUNCTION("""COMPUTED_VALUE"""),10031.0)</f>
        <v>10031</v>
      </c>
      <c r="C8" s="83" t="str">
        <f>IFERROR(__xludf.DUMMYFUNCTION("""COMPUTED_VALUE"""),"Đinh Nho Hồng")</f>
        <v>Đinh Nho Hồng</v>
      </c>
      <c r="D8" s="83" t="str">
        <f>IFERROR(__xludf.DUMMYFUNCTION("""COMPUTED_VALUE"""),"BLĐ")</f>
        <v>BLĐ</v>
      </c>
      <c r="E8" s="168">
        <f t="shared" si="1"/>
        <v>5</v>
      </c>
      <c r="F8" s="168">
        <f t="shared" si="2"/>
        <v>2</v>
      </c>
      <c r="G8" s="168">
        <f t="shared" si="3"/>
        <v>3</v>
      </c>
      <c r="H8" s="169"/>
      <c r="I8" s="169"/>
      <c r="J8" s="169"/>
      <c r="K8" s="169">
        <v>2.0</v>
      </c>
      <c r="L8" s="169">
        <f>VLOOKUP(B8,'Công T5'!$B$8:$AO$89,40,0)</f>
        <v>0</v>
      </c>
      <c r="M8" s="169"/>
      <c r="N8" s="169"/>
      <c r="O8" s="169"/>
      <c r="P8" s="169"/>
      <c r="Q8" s="169"/>
      <c r="R8" s="169"/>
      <c r="S8" s="169"/>
      <c r="T8" s="170">
        <v>42289.0</v>
      </c>
      <c r="U8" s="171">
        <f t="shared" si="4"/>
        <v>1</v>
      </c>
      <c r="V8" s="171"/>
      <c r="W8" s="171"/>
      <c r="X8" s="172">
        <v>1.0</v>
      </c>
      <c r="Y8" s="172">
        <v>1.0</v>
      </c>
      <c r="Z8" s="172">
        <v>1.0</v>
      </c>
      <c r="AA8" s="172">
        <v>1.0</v>
      </c>
      <c r="AB8" s="171"/>
      <c r="AC8" s="171"/>
      <c r="AD8" s="171"/>
      <c r="AE8" s="171"/>
      <c r="AF8" s="171"/>
      <c r="AG8" s="171"/>
    </row>
    <row r="9">
      <c r="A9" s="166">
        <f>IFERROR(__xludf.DUMMYFUNCTION("""COMPUTED_VALUE"""),5.0)</f>
        <v>5</v>
      </c>
      <c r="B9" s="167">
        <f>IFERROR(__xludf.DUMMYFUNCTION("""COMPUTED_VALUE"""),10387.0)</f>
        <v>10387</v>
      </c>
      <c r="C9" s="83" t="str">
        <f>IFERROR(__xludf.DUMMYFUNCTION("""COMPUTED_VALUE"""),"Nguyễn Thị Mai")</f>
        <v>Nguyễn Thị Mai</v>
      </c>
      <c r="D9" s="83" t="str">
        <f>IFERROR(__xludf.DUMMYFUNCTION("""COMPUTED_VALUE"""),"ĐT")</f>
        <v>ĐT</v>
      </c>
      <c r="E9" s="168">
        <f t="shared" si="1"/>
        <v>4</v>
      </c>
      <c r="F9" s="168">
        <f t="shared" si="2"/>
        <v>1</v>
      </c>
      <c r="G9" s="168">
        <f t="shared" si="3"/>
        <v>3</v>
      </c>
      <c r="H9" s="169"/>
      <c r="I9" s="169"/>
      <c r="J9" s="173"/>
      <c r="K9" s="169">
        <v>1.0</v>
      </c>
      <c r="L9" s="169">
        <f>VLOOKUP(B9,'Công T5'!$B$8:$AO$89,40,0)</f>
        <v>0</v>
      </c>
      <c r="M9" s="173"/>
      <c r="N9" s="173"/>
      <c r="O9" s="173"/>
      <c r="P9" s="173"/>
      <c r="Q9" s="173"/>
      <c r="R9" s="173"/>
      <c r="S9" s="173"/>
      <c r="T9" s="170">
        <v>44256.0</v>
      </c>
      <c r="U9" s="171">
        <f t="shared" si="4"/>
        <v>0</v>
      </c>
      <c r="V9" s="171"/>
      <c r="W9" s="171"/>
      <c r="X9" s="172">
        <v>1.0</v>
      </c>
      <c r="Y9" s="172">
        <v>1.0</v>
      </c>
      <c r="Z9" s="172">
        <v>1.0</v>
      </c>
      <c r="AA9" s="172">
        <v>1.0</v>
      </c>
      <c r="AB9" s="171"/>
      <c r="AC9" s="171"/>
      <c r="AD9" s="171"/>
      <c r="AE9" s="171"/>
      <c r="AF9" s="171"/>
      <c r="AG9" s="171"/>
    </row>
    <row r="10">
      <c r="A10" s="166">
        <f>IFERROR(__xludf.DUMMYFUNCTION("""COMPUTED_VALUE"""),6.0)</f>
        <v>6</v>
      </c>
      <c r="B10" s="167">
        <f>IFERROR(__xludf.DUMMYFUNCTION("""COMPUTED_VALUE"""),10029.0)</f>
        <v>10029</v>
      </c>
      <c r="C10" s="83" t="str">
        <f>IFERROR(__xludf.DUMMYFUNCTION("""COMPUTED_VALUE"""),"Đỗ Thị Thu Trang")</f>
        <v>Đỗ Thị Thu Trang</v>
      </c>
      <c r="D10" s="83" t="str">
        <f>IFERROR(__xludf.DUMMYFUNCTION("""COMPUTED_VALUE"""),"ĐT")</f>
        <v>ĐT</v>
      </c>
      <c r="E10" s="168">
        <f t="shared" si="1"/>
        <v>5</v>
      </c>
      <c r="F10" s="168">
        <f t="shared" si="2"/>
        <v>1</v>
      </c>
      <c r="G10" s="168">
        <f t="shared" si="3"/>
        <v>4</v>
      </c>
      <c r="H10" s="169"/>
      <c r="I10" s="169"/>
      <c r="J10" s="173"/>
      <c r="K10" s="169">
        <v>1.0</v>
      </c>
      <c r="L10" s="169">
        <f>VLOOKUP(B10,'Công T5'!$B$8:$AO$89,40,0)</f>
        <v>0</v>
      </c>
      <c r="M10" s="173"/>
      <c r="N10" s="173"/>
      <c r="O10" s="173"/>
      <c r="P10" s="173"/>
      <c r="Q10" s="173"/>
      <c r="R10" s="173"/>
      <c r="S10" s="173"/>
      <c r="T10" s="170">
        <v>43405.0</v>
      </c>
      <c r="U10" s="171">
        <f t="shared" si="4"/>
        <v>1</v>
      </c>
      <c r="V10" s="171"/>
      <c r="W10" s="171"/>
      <c r="X10" s="172">
        <v>1.0</v>
      </c>
      <c r="Y10" s="172">
        <v>1.0</v>
      </c>
      <c r="Z10" s="172">
        <v>1.0</v>
      </c>
      <c r="AA10" s="172">
        <v>1.0</v>
      </c>
      <c r="AB10" s="171"/>
      <c r="AC10" s="171"/>
      <c r="AD10" s="171"/>
      <c r="AE10" s="171"/>
      <c r="AF10" s="171"/>
      <c r="AG10" s="171"/>
    </row>
    <row r="11">
      <c r="A11" s="166">
        <f>IFERROR(__xludf.DUMMYFUNCTION("""COMPUTED_VALUE"""),7.0)</f>
        <v>7</v>
      </c>
      <c r="B11" s="167">
        <f>IFERROR(__xludf.DUMMYFUNCTION("""COMPUTED_VALUE"""),10230.0)</f>
        <v>10230</v>
      </c>
      <c r="C11" s="83" t="str">
        <f>IFERROR(__xludf.DUMMYFUNCTION("""COMPUTED_VALUE"""),"Nguyễn Thị Bình")</f>
        <v>Nguyễn Thị Bình</v>
      </c>
      <c r="D11" s="83" t="str">
        <f>IFERROR(__xludf.DUMMYFUNCTION("""COMPUTED_VALUE"""),"ĐT")</f>
        <v>ĐT</v>
      </c>
      <c r="E11" s="168">
        <f t="shared" si="1"/>
        <v>5</v>
      </c>
      <c r="F11" s="168">
        <f t="shared" si="2"/>
        <v>0</v>
      </c>
      <c r="G11" s="168">
        <f t="shared" si="3"/>
        <v>5</v>
      </c>
      <c r="H11" s="169"/>
      <c r="I11" s="169"/>
      <c r="J11" s="173"/>
      <c r="K11" s="169">
        <v>0.0</v>
      </c>
      <c r="L11" s="169">
        <f>VLOOKUP(B11,'Công T5'!$B$8:$AO$89,40,0)</f>
        <v>0</v>
      </c>
      <c r="M11" s="173"/>
      <c r="N11" s="173"/>
      <c r="O11" s="173"/>
      <c r="P11" s="173"/>
      <c r="Q11" s="173"/>
      <c r="R11" s="173"/>
      <c r="S11" s="173"/>
      <c r="T11" s="170">
        <v>43418.0</v>
      </c>
      <c r="U11" s="171">
        <f t="shared" si="4"/>
        <v>1</v>
      </c>
      <c r="V11" s="171"/>
      <c r="W11" s="171"/>
      <c r="X11" s="172">
        <v>1.0</v>
      </c>
      <c r="Y11" s="172">
        <v>1.0</v>
      </c>
      <c r="Z11" s="172">
        <v>1.0</v>
      </c>
      <c r="AA11" s="172">
        <v>1.0</v>
      </c>
      <c r="AB11" s="171"/>
      <c r="AC11" s="171"/>
      <c r="AD11" s="171"/>
      <c r="AE11" s="171"/>
      <c r="AF11" s="171"/>
      <c r="AG11" s="171"/>
    </row>
    <row r="12">
      <c r="A12" s="174">
        <f>IFERROR(__xludf.DUMMYFUNCTION("""COMPUTED_VALUE"""),8.0)</f>
        <v>8</v>
      </c>
      <c r="B12" s="175">
        <f>IFERROR(__xludf.DUMMYFUNCTION("""COMPUTED_VALUE"""),10084.0)</f>
        <v>10084</v>
      </c>
      <c r="C12" s="176" t="str">
        <f>IFERROR(__xludf.DUMMYFUNCTION("""COMPUTED_VALUE"""),"Nguyễn Thị Mai Anh")</f>
        <v>Nguyễn Thị Mai Anh</v>
      </c>
      <c r="D12" s="176" t="str">
        <f>IFERROR(__xludf.DUMMYFUNCTION("""COMPUTED_VALUE"""),"ĐT")</f>
        <v>ĐT</v>
      </c>
      <c r="E12" s="177">
        <f t="shared" si="1"/>
        <v>3</v>
      </c>
      <c r="F12" s="177">
        <f t="shared" si="2"/>
        <v>1</v>
      </c>
      <c r="G12" s="177">
        <f t="shared" si="3"/>
        <v>2</v>
      </c>
      <c r="H12" s="177"/>
      <c r="I12" s="177"/>
      <c r="J12" s="178"/>
      <c r="K12" s="177">
        <v>1.0</v>
      </c>
      <c r="L12" s="177">
        <f>VLOOKUP(B12,'Công T5'!$B$8:$AO$89,40,0)</f>
        <v>0</v>
      </c>
      <c r="M12" s="178"/>
      <c r="N12" s="178"/>
      <c r="O12" s="178"/>
      <c r="P12" s="178"/>
      <c r="Q12" s="178"/>
      <c r="R12" s="178"/>
      <c r="S12" s="178"/>
      <c r="T12" s="179">
        <v>43252.0</v>
      </c>
      <c r="U12" s="171">
        <f t="shared" si="4"/>
        <v>1</v>
      </c>
      <c r="V12" s="180"/>
      <c r="W12" s="180"/>
      <c r="X12" s="181">
        <v>1.0</v>
      </c>
      <c r="Y12" s="181">
        <v>1.0</v>
      </c>
      <c r="Z12" s="181"/>
      <c r="AA12" s="181"/>
      <c r="AB12" s="180"/>
      <c r="AC12" s="180"/>
      <c r="AD12" s="180"/>
      <c r="AE12" s="180"/>
      <c r="AF12" s="180"/>
      <c r="AG12" s="180"/>
    </row>
    <row r="13">
      <c r="A13" s="174">
        <f>IFERROR(__xludf.DUMMYFUNCTION("""COMPUTED_VALUE"""),9.0)</f>
        <v>9</v>
      </c>
      <c r="B13" s="175">
        <f>IFERROR(__xludf.DUMMYFUNCTION("""COMPUTED_VALUE"""),10033.0)</f>
        <v>10033</v>
      </c>
      <c r="C13" s="176" t="str">
        <f>IFERROR(__xludf.DUMMYFUNCTION("""COMPUTED_VALUE"""),"Nguyễn Văn Tài")</f>
        <v>Nguyễn Văn Tài</v>
      </c>
      <c r="D13" s="176" t="str">
        <f>IFERROR(__xludf.DUMMYFUNCTION("""COMPUTED_VALUE"""),"ĐT")</f>
        <v>ĐT</v>
      </c>
      <c r="E13" s="177">
        <f t="shared" si="1"/>
        <v>3</v>
      </c>
      <c r="F13" s="177">
        <f t="shared" si="2"/>
        <v>1</v>
      </c>
      <c r="G13" s="177">
        <f t="shared" si="3"/>
        <v>2</v>
      </c>
      <c r="H13" s="177"/>
      <c r="I13" s="177"/>
      <c r="J13" s="178"/>
      <c r="K13" s="177">
        <v>1.0</v>
      </c>
      <c r="L13" s="177">
        <f>VLOOKUP(B13,'Công T5'!$B$8:$AO$89,40,0)</f>
        <v>0</v>
      </c>
      <c r="M13" s="178"/>
      <c r="N13" s="178"/>
      <c r="O13" s="178"/>
      <c r="P13" s="178"/>
      <c r="Q13" s="178"/>
      <c r="R13" s="178"/>
      <c r="S13" s="178"/>
      <c r="T13" s="179">
        <v>42372.0</v>
      </c>
      <c r="U13" s="171">
        <f t="shared" si="4"/>
        <v>1</v>
      </c>
      <c r="V13" s="180"/>
      <c r="W13" s="180"/>
      <c r="X13" s="181">
        <v>1.0</v>
      </c>
      <c r="Y13" s="181">
        <v>1.0</v>
      </c>
      <c r="Z13" s="181"/>
      <c r="AA13" s="180"/>
      <c r="AB13" s="180"/>
      <c r="AC13" s="180"/>
      <c r="AD13" s="180"/>
      <c r="AE13" s="180"/>
      <c r="AF13" s="180"/>
      <c r="AG13" s="180"/>
    </row>
    <row r="14">
      <c r="A14" s="166">
        <f>IFERROR(__xludf.DUMMYFUNCTION("""COMPUTED_VALUE"""),8.0)</f>
        <v>8</v>
      </c>
      <c r="B14" s="167">
        <f>IFERROR(__xludf.DUMMYFUNCTION("""COMPUTED_VALUE"""),10044.0)</f>
        <v>10044</v>
      </c>
      <c r="C14" s="83" t="str">
        <f>IFERROR(__xludf.DUMMYFUNCTION("""COMPUTED_VALUE"""),"Phạm Thị Thanh")</f>
        <v>Phạm Thị Thanh</v>
      </c>
      <c r="D14" s="83" t="str">
        <f>IFERROR(__xludf.DUMMYFUNCTION("""COMPUTED_VALUE"""),"ĐT")</f>
        <v>ĐT</v>
      </c>
      <c r="E14" s="168">
        <f t="shared" si="1"/>
        <v>5</v>
      </c>
      <c r="F14" s="168">
        <f t="shared" si="2"/>
        <v>1</v>
      </c>
      <c r="G14" s="168">
        <f t="shared" si="3"/>
        <v>4</v>
      </c>
      <c r="H14" s="169"/>
      <c r="I14" s="169"/>
      <c r="J14" s="173"/>
      <c r="K14" s="169">
        <v>1.0</v>
      </c>
      <c r="L14" s="169">
        <f>VLOOKUP(B14,'Công T5'!$B$8:$AO$89,40,0)</f>
        <v>0</v>
      </c>
      <c r="M14" s="173"/>
      <c r="N14" s="173"/>
      <c r="O14" s="173"/>
      <c r="P14" s="173"/>
      <c r="Q14" s="173"/>
      <c r="R14" s="173"/>
      <c r="S14" s="173"/>
      <c r="T14" s="170">
        <v>42526.0</v>
      </c>
      <c r="U14" s="171">
        <f t="shared" si="4"/>
        <v>1</v>
      </c>
      <c r="V14" s="171"/>
      <c r="W14" s="171"/>
      <c r="X14" s="172">
        <v>1.0</v>
      </c>
      <c r="Y14" s="172">
        <v>1.0</v>
      </c>
      <c r="Z14" s="172">
        <v>1.0</v>
      </c>
      <c r="AA14" s="172">
        <v>1.0</v>
      </c>
      <c r="AB14" s="171"/>
      <c r="AC14" s="171"/>
      <c r="AD14" s="171"/>
      <c r="AE14" s="171"/>
      <c r="AF14" s="171"/>
      <c r="AG14" s="171"/>
    </row>
    <row r="15">
      <c r="A15" s="166">
        <f>IFERROR(__xludf.DUMMYFUNCTION("""COMPUTED_VALUE"""),9.0)</f>
        <v>9</v>
      </c>
      <c r="B15" s="167">
        <f>IFERROR(__xludf.DUMMYFUNCTION("""COMPUTED_VALUE"""),10384.0)</f>
        <v>10384</v>
      </c>
      <c r="C15" s="83" t="str">
        <f>IFERROR(__xludf.DUMMYFUNCTION("""COMPUTED_VALUE"""),"Nguyễn Văn Quyết")</f>
        <v>Nguyễn Văn Quyết</v>
      </c>
      <c r="D15" s="83" t="str">
        <f>IFERROR(__xludf.DUMMYFUNCTION("""COMPUTED_VALUE"""),"QS")</f>
        <v>QS</v>
      </c>
      <c r="E15" s="168">
        <f t="shared" si="1"/>
        <v>4</v>
      </c>
      <c r="F15" s="168">
        <f t="shared" si="2"/>
        <v>0</v>
      </c>
      <c r="G15" s="168">
        <f t="shared" si="3"/>
        <v>4</v>
      </c>
      <c r="H15" s="169"/>
      <c r="I15" s="169"/>
      <c r="J15" s="173"/>
      <c r="K15" s="169">
        <v>0.0</v>
      </c>
      <c r="L15" s="169">
        <f>VLOOKUP(B15,'Công T5'!$B$8:$AO$89,40,0)</f>
        <v>0</v>
      </c>
      <c r="M15" s="173"/>
      <c r="N15" s="173"/>
      <c r="O15" s="173"/>
      <c r="P15" s="173"/>
      <c r="Q15" s="173"/>
      <c r="R15" s="173"/>
      <c r="S15" s="173"/>
      <c r="T15" s="170">
        <v>44270.0</v>
      </c>
      <c r="U15" s="171">
        <f t="shared" si="4"/>
        <v>0</v>
      </c>
      <c r="V15" s="171"/>
      <c r="W15" s="171"/>
      <c r="X15" s="172">
        <v>1.0</v>
      </c>
      <c r="Y15" s="172">
        <v>1.0</v>
      </c>
      <c r="Z15" s="172">
        <v>1.0</v>
      </c>
      <c r="AA15" s="172">
        <v>1.0</v>
      </c>
      <c r="AB15" s="171"/>
      <c r="AC15" s="171"/>
      <c r="AD15" s="171"/>
      <c r="AE15" s="171"/>
      <c r="AF15" s="171"/>
      <c r="AG15" s="171"/>
    </row>
    <row r="16">
      <c r="A16" s="166">
        <f>IFERROR(__xludf.DUMMYFUNCTION("""COMPUTED_VALUE"""),10.0)</f>
        <v>10</v>
      </c>
      <c r="B16" s="167">
        <f>IFERROR(__xludf.DUMMYFUNCTION("""COMPUTED_VALUE"""),10404.0)</f>
        <v>10404</v>
      </c>
      <c r="C16" s="83" t="str">
        <f>IFERROR(__xludf.DUMMYFUNCTION("""COMPUTED_VALUE"""),"Trần Thị Hiền")</f>
        <v>Trần Thị Hiền</v>
      </c>
      <c r="D16" s="83" t="str">
        <f>IFERROR(__xludf.DUMMYFUNCTION("""COMPUTED_VALUE"""),"ĐT")</f>
        <v>ĐT</v>
      </c>
      <c r="E16" s="168">
        <f t="shared" si="1"/>
        <v>2</v>
      </c>
      <c r="F16" s="168">
        <f t="shared" si="2"/>
        <v>0</v>
      </c>
      <c r="G16" s="168">
        <f t="shared" si="3"/>
        <v>2</v>
      </c>
      <c r="H16" s="169"/>
      <c r="I16" s="169"/>
      <c r="J16" s="173"/>
      <c r="K16" s="169">
        <v>0.0</v>
      </c>
      <c r="L16" s="169">
        <f>VLOOKUP(B16,'Công T5'!$B$8:$AO$89,40,0)</f>
        <v>0</v>
      </c>
      <c r="M16" s="173"/>
      <c r="N16" s="173"/>
      <c r="O16" s="173"/>
      <c r="P16" s="173"/>
      <c r="Q16" s="173"/>
      <c r="R16" s="173"/>
      <c r="S16" s="173"/>
      <c r="T16" s="182" t="s">
        <v>301</v>
      </c>
      <c r="U16" s="171">
        <f t="shared" si="4"/>
        <v>0</v>
      </c>
      <c r="V16" s="171"/>
      <c r="W16" s="171"/>
      <c r="X16" s="172"/>
      <c r="Y16" s="172"/>
      <c r="Z16" s="172">
        <v>1.0</v>
      </c>
      <c r="AA16" s="172">
        <v>1.0</v>
      </c>
      <c r="AB16" s="171"/>
      <c r="AC16" s="171"/>
      <c r="AD16" s="171"/>
      <c r="AE16" s="171"/>
      <c r="AF16" s="171"/>
      <c r="AG16" s="171"/>
    </row>
    <row r="17">
      <c r="A17" s="166">
        <f>IFERROR(__xludf.DUMMYFUNCTION("""COMPUTED_VALUE"""),11.0)</f>
        <v>11</v>
      </c>
      <c r="B17" s="167">
        <f>IFERROR(__xludf.DUMMYFUNCTION("""COMPUTED_VALUE"""),10406.0)</f>
        <v>10406</v>
      </c>
      <c r="C17" s="83" t="str">
        <f>IFERROR(__xludf.DUMMYFUNCTION("""COMPUTED_VALUE"""),"Nguyễn Hồng Công")</f>
        <v>Nguyễn Hồng Công</v>
      </c>
      <c r="D17" s="83" t="str">
        <f>IFERROR(__xludf.DUMMYFUNCTION("""COMPUTED_VALUE"""),"ĐT")</f>
        <v>ĐT</v>
      </c>
      <c r="E17" s="168">
        <f t="shared" si="1"/>
        <v>2</v>
      </c>
      <c r="F17" s="168">
        <f t="shared" si="2"/>
        <v>0</v>
      </c>
      <c r="G17" s="168">
        <f t="shared" si="3"/>
        <v>2</v>
      </c>
      <c r="H17" s="169"/>
      <c r="I17" s="169"/>
      <c r="J17" s="173"/>
      <c r="K17" s="169">
        <v>0.0</v>
      </c>
      <c r="L17" s="169">
        <f>VLOOKUP(B17,'Công T5'!$B$8:$AO$89,40,0)</f>
        <v>0</v>
      </c>
      <c r="M17" s="173"/>
      <c r="N17" s="173"/>
      <c r="O17" s="173"/>
      <c r="P17" s="173"/>
      <c r="Q17" s="173"/>
      <c r="R17" s="173"/>
      <c r="S17" s="173"/>
      <c r="T17" s="182" t="s">
        <v>301</v>
      </c>
      <c r="U17" s="171">
        <f t="shared" si="4"/>
        <v>0</v>
      </c>
      <c r="V17" s="171"/>
      <c r="W17" s="171"/>
      <c r="X17" s="172"/>
      <c r="Y17" s="172"/>
      <c r="Z17" s="172">
        <v>1.0</v>
      </c>
      <c r="AA17" s="172">
        <v>1.0</v>
      </c>
      <c r="AB17" s="171"/>
      <c r="AC17" s="171"/>
      <c r="AD17" s="171"/>
      <c r="AE17" s="171"/>
      <c r="AF17" s="171"/>
      <c r="AG17" s="171"/>
    </row>
    <row r="18">
      <c r="A18" s="166">
        <f>IFERROR(__xludf.DUMMYFUNCTION("""COMPUTED_VALUE"""),12.0)</f>
        <v>12</v>
      </c>
      <c r="B18" s="167">
        <f>IFERROR(__xludf.DUMMYFUNCTION("""COMPUTED_VALUE"""),10407.0)</f>
        <v>10407</v>
      </c>
      <c r="C18" s="83" t="str">
        <f>IFERROR(__xludf.DUMMYFUNCTION("""COMPUTED_VALUE"""),"Nguyễn Thị Thúy")</f>
        <v>Nguyễn Thị Thúy</v>
      </c>
      <c r="D18" s="83" t="str">
        <f>IFERROR(__xludf.DUMMYFUNCTION("""COMPUTED_VALUE"""),"ĐT")</f>
        <v>ĐT</v>
      </c>
      <c r="E18" s="168">
        <f t="shared" si="1"/>
        <v>2</v>
      </c>
      <c r="F18" s="168">
        <f t="shared" si="2"/>
        <v>0</v>
      </c>
      <c r="G18" s="168">
        <f t="shared" si="3"/>
        <v>2</v>
      </c>
      <c r="H18" s="169"/>
      <c r="I18" s="169"/>
      <c r="J18" s="173"/>
      <c r="K18" s="169">
        <v>0.0</v>
      </c>
      <c r="L18" s="169">
        <f>VLOOKUP(B18,'Công T5'!$B$8:$AO$89,40,0)</f>
        <v>0</v>
      </c>
      <c r="M18" s="173"/>
      <c r="N18" s="173"/>
      <c r="O18" s="173"/>
      <c r="P18" s="173"/>
      <c r="Q18" s="173"/>
      <c r="R18" s="173"/>
      <c r="S18" s="173"/>
      <c r="T18" s="170">
        <v>43885.0</v>
      </c>
      <c r="U18" s="171">
        <f t="shared" si="4"/>
        <v>0</v>
      </c>
      <c r="V18" s="171"/>
      <c r="W18" s="171"/>
      <c r="X18" s="172"/>
      <c r="Y18" s="172"/>
      <c r="Z18" s="172">
        <v>1.0</v>
      </c>
      <c r="AA18" s="172">
        <v>1.0</v>
      </c>
      <c r="AB18" s="171"/>
      <c r="AC18" s="171"/>
      <c r="AD18" s="171"/>
      <c r="AE18" s="171"/>
      <c r="AF18" s="171"/>
      <c r="AG18" s="171"/>
    </row>
    <row r="19">
      <c r="A19" s="166">
        <f>IFERROR(__xludf.DUMMYFUNCTION("""COMPUTED_VALUE"""),13.0)</f>
        <v>13</v>
      </c>
      <c r="B19" s="167">
        <f>IFERROR(__xludf.DUMMYFUNCTION("""COMPUTED_VALUE"""),10408.0)</f>
        <v>10408</v>
      </c>
      <c r="C19" s="83" t="str">
        <f>IFERROR(__xludf.DUMMYFUNCTION("""COMPUTED_VALUE"""),"Bùi Thị Hoa")</f>
        <v>Bùi Thị Hoa</v>
      </c>
      <c r="D19" s="83" t="str">
        <f>IFERROR(__xludf.DUMMYFUNCTION("""COMPUTED_VALUE"""),"ĐT")</f>
        <v>ĐT</v>
      </c>
      <c r="E19" s="168">
        <f t="shared" si="1"/>
        <v>2</v>
      </c>
      <c r="F19" s="168">
        <f t="shared" si="2"/>
        <v>0</v>
      </c>
      <c r="G19" s="168">
        <f t="shared" si="3"/>
        <v>2</v>
      </c>
      <c r="H19" s="169"/>
      <c r="I19" s="169"/>
      <c r="J19" s="173"/>
      <c r="K19" s="169">
        <v>0.0</v>
      </c>
      <c r="L19" s="169">
        <f>VLOOKUP(B19,'Công T5'!$B$8:$AO$89,40,0)</f>
        <v>0</v>
      </c>
      <c r="M19" s="173"/>
      <c r="N19" s="173"/>
      <c r="O19" s="173"/>
      <c r="P19" s="173"/>
      <c r="Q19" s="173"/>
      <c r="R19" s="173"/>
      <c r="S19" s="173"/>
      <c r="T19" s="182" t="s">
        <v>301</v>
      </c>
      <c r="U19" s="171">
        <f t="shared" si="4"/>
        <v>0</v>
      </c>
      <c r="V19" s="171"/>
      <c r="W19" s="171"/>
      <c r="X19" s="172"/>
      <c r="Y19" s="172"/>
      <c r="Z19" s="172">
        <v>1.0</v>
      </c>
      <c r="AA19" s="172">
        <v>1.0</v>
      </c>
      <c r="AB19" s="171"/>
      <c r="AC19" s="171"/>
      <c r="AD19" s="171"/>
      <c r="AE19" s="171"/>
      <c r="AF19" s="171"/>
      <c r="AG19" s="171"/>
    </row>
    <row r="20" hidden="1">
      <c r="A20" s="166"/>
      <c r="B20" s="167"/>
      <c r="C20" s="83"/>
      <c r="D20" s="83"/>
      <c r="E20" s="168">
        <f t="shared" si="1"/>
        <v>2</v>
      </c>
      <c r="F20" s="168" t="str">
        <f t="shared" si="2"/>
        <v>#N/A</v>
      </c>
      <c r="G20" s="168" t="str">
        <f t="shared" si="3"/>
        <v>#N/A</v>
      </c>
      <c r="H20" s="169"/>
      <c r="I20" s="169"/>
      <c r="J20" s="173"/>
      <c r="K20" s="169"/>
      <c r="L20" s="169" t="str">
        <f>VLOOKUP(B20,'Công T5'!$B$8:$AO$89,40,0)</f>
        <v>#N/A</v>
      </c>
      <c r="M20" s="173"/>
      <c r="N20" s="173"/>
      <c r="O20" s="173"/>
      <c r="P20" s="173"/>
      <c r="Q20" s="173"/>
      <c r="R20" s="173"/>
      <c r="S20" s="173"/>
      <c r="T20" s="170" t="e">
        <v>#N/A</v>
      </c>
      <c r="U20" s="171">
        <f t="shared" si="4"/>
        <v>0</v>
      </c>
      <c r="V20" s="171"/>
      <c r="W20" s="171"/>
      <c r="X20" s="172">
        <v>1.0</v>
      </c>
      <c r="Y20" s="172">
        <v>1.0</v>
      </c>
      <c r="Z20" s="171"/>
      <c r="AA20" s="171"/>
      <c r="AB20" s="171"/>
      <c r="AC20" s="171"/>
      <c r="AD20" s="171"/>
      <c r="AE20" s="171"/>
      <c r="AF20" s="171"/>
      <c r="AG20" s="171"/>
    </row>
    <row r="21" hidden="1">
      <c r="A21" s="166"/>
      <c r="B21" s="167"/>
      <c r="C21" s="83"/>
      <c r="D21" s="83"/>
      <c r="E21" s="168">
        <f t="shared" si="1"/>
        <v>2</v>
      </c>
      <c r="F21" s="168" t="str">
        <f t="shared" si="2"/>
        <v>#N/A</v>
      </c>
      <c r="G21" s="168" t="str">
        <f t="shared" si="3"/>
        <v>#N/A</v>
      </c>
      <c r="H21" s="169"/>
      <c r="I21" s="169"/>
      <c r="J21" s="173"/>
      <c r="K21" s="169"/>
      <c r="L21" s="169" t="str">
        <f>VLOOKUP(B21,'Công T5'!$B$8:$AO$89,40,0)</f>
        <v>#N/A</v>
      </c>
      <c r="M21" s="173"/>
      <c r="N21" s="173"/>
      <c r="O21" s="173"/>
      <c r="P21" s="173"/>
      <c r="Q21" s="173"/>
      <c r="R21" s="173"/>
      <c r="S21" s="173"/>
      <c r="T21" s="170" t="e">
        <v>#N/A</v>
      </c>
      <c r="U21" s="171">
        <f t="shared" si="4"/>
        <v>0</v>
      </c>
      <c r="V21" s="171"/>
      <c r="W21" s="171"/>
      <c r="X21" s="172">
        <v>1.0</v>
      </c>
      <c r="Y21" s="172">
        <v>1.0</v>
      </c>
      <c r="Z21" s="171"/>
      <c r="AA21" s="171"/>
      <c r="AB21" s="171"/>
      <c r="AC21" s="171"/>
      <c r="AD21" s="171"/>
      <c r="AE21" s="171"/>
      <c r="AF21" s="171"/>
      <c r="AG21" s="171"/>
    </row>
    <row r="22" hidden="1">
      <c r="A22" s="166"/>
      <c r="B22" s="167"/>
      <c r="C22" s="83"/>
      <c r="D22" s="83"/>
      <c r="E22" s="168">
        <f t="shared" si="1"/>
        <v>2</v>
      </c>
      <c r="F22" s="168" t="str">
        <f t="shared" si="2"/>
        <v>#N/A</v>
      </c>
      <c r="G22" s="168" t="str">
        <f t="shared" si="3"/>
        <v>#N/A</v>
      </c>
      <c r="H22" s="169"/>
      <c r="I22" s="169"/>
      <c r="J22" s="173"/>
      <c r="K22" s="169"/>
      <c r="L22" s="169" t="str">
        <f>VLOOKUP(B22,'Công T5'!$B$8:$AO$89,40,0)</f>
        <v>#N/A</v>
      </c>
      <c r="M22" s="173"/>
      <c r="N22" s="173"/>
      <c r="O22" s="173"/>
      <c r="P22" s="173"/>
      <c r="Q22" s="173"/>
      <c r="R22" s="173"/>
      <c r="S22" s="173"/>
      <c r="T22" s="170" t="e">
        <v>#N/A</v>
      </c>
      <c r="U22" s="171">
        <f t="shared" si="4"/>
        <v>0</v>
      </c>
      <c r="V22" s="171"/>
      <c r="W22" s="171"/>
      <c r="X22" s="172">
        <v>1.0</v>
      </c>
      <c r="Y22" s="172">
        <v>1.0</v>
      </c>
      <c r="Z22" s="171"/>
      <c r="AA22" s="171"/>
      <c r="AB22" s="171"/>
      <c r="AC22" s="171"/>
      <c r="AD22" s="171"/>
      <c r="AE22" s="171"/>
      <c r="AF22" s="171"/>
      <c r="AG22" s="171"/>
    </row>
    <row r="23" hidden="1">
      <c r="A23" s="166"/>
      <c r="B23" s="167"/>
      <c r="C23" s="83"/>
      <c r="D23" s="83"/>
      <c r="E23" s="168">
        <f t="shared" si="1"/>
        <v>2</v>
      </c>
      <c r="F23" s="168" t="str">
        <f t="shared" si="2"/>
        <v>#N/A</v>
      </c>
      <c r="G23" s="168" t="str">
        <f t="shared" si="3"/>
        <v>#N/A</v>
      </c>
      <c r="H23" s="169"/>
      <c r="I23" s="169"/>
      <c r="J23" s="173"/>
      <c r="K23" s="169"/>
      <c r="L23" s="169" t="str">
        <f>VLOOKUP(B23,'Công T5'!$B$8:$AO$89,40,0)</f>
        <v>#N/A</v>
      </c>
      <c r="M23" s="173"/>
      <c r="N23" s="173"/>
      <c r="O23" s="173"/>
      <c r="P23" s="173"/>
      <c r="Q23" s="173"/>
      <c r="R23" s="173"/>
      <c r="S23" s="173"/>
      <c r="T23" s="170" t="e">
        <v>#N/A</v>
      </c>
      <c r="U23" s="171">
        <f t="shared" si="4"/>
        <v>0</v>
      </c>
      <c r="V23" s="171"/>
      <c r="W23" s="171"/>
      <c r="X23" s="172">
        <v>1.0</v>
      </c>
      <c r="Y23" s="172">
        <v>1.0</v>
      </c>
      <c r="Z23" s="171"/>
      <c r="AA23" s="171"/>
      <c r="AB23" s="171"/>
      <c r="AC23" s="171"/>
      <c r="AD23" s="171"/>
      <c r="AE23" s="171"/>
      <c r="AF23" s="171"/>
      <c r="AG23" s="171"/>
    </row>
    <row r="24" hidden="1">
      <c r="A24" s="166"/>
      <c r="B24" s="167"/>
      <c r="C24" s="83"/>
      <c r="D24" s="83"/>
      <c r="E24" s="168">
        <f t="shared" si="1"/>
        <v>2</v>
      </c>
      <c r="F24" s="168" t="str">
        <f t="shared" si="2"/>
        <v>#N/A</v>
      </c>
      <c r="G24" s="168" t="str">
        <f t="shared" si="3"/>
        <v>#N/A</v>
      </c>
      <c r="H24" s="169"/>
      <c r="I24" s="169"/>
      <c r="J24" s="173"/>
      <c r="K24" s="169"/>
      <c r="L24" s="169" t="str">
        <f>VLOOKUP(B24,'Công T5'!$B$8:$AO$89,40,0)</f>
        <v>#N/A</v>
      </c>
      <c r="M24" s="173"/>
      <c r="N24" s="173"/>
      <c r="O24" s="173"/>
      <c r="P24" s="173"/>
      <c r="Q24" s="173"/>
      <c r="R24" s="173"/>
      <c r="S24" s="173"/>
      <c r="T24" s="170" t="e">
        <v>#N/A</v>
      </c>
      <c r="U24" s="171">
        <f t="shared" si="4"/>
        <v>0</v>
      </c>
      <c r="V24" s="171"/>
      <c r="W24" s="171"/>
      <c r="X24" s="172">
        <v>1.0</v>
      </c>
      <c r="Y24" s="172">
        <v>1.0</v>
      </c>
      <c r="Z24" s="171"/>
      <c r="AA24" s="171"/>
      <c r="AB24" s="171"/>
      <c r="AC24" s="171"/>
      <c r="AD24" s="171"/>
      <c r="AE24" s="171"/>
      <c r="AF24" s="171"/>
      <c r="AG24" s="171"/>
    </row>
    <row r="25">
      <c r="A25" s="166">
        <f>IFERROR(__xludf.DUMMYFUNCTION("""COMPUTED_VALUE"""),14.0)</f>
        <v>14</v>
      </c>
      <c r="B25" s="167">
        <f>IFERROR(__xludf.DUMMYFUNCTION("""COMPUTED_VALUE"""),10103.0)</f>
        <v>10103</v>
      </c>
      <c r="C25" s="83" t="str">
        <f>IFERROR(__xludf.DUMMYFUNCTION("""COMPUTED_VALUE"""),"Nguyễn Văn Thích")</f>
        <v>Nguyễn Văn Thích</v>
      </c>
      <c r="D25" s="83" t="str">
        <f>IFERROR(__xludf.DUMMYFUNCTION("""COMPUTED_VALUE"""),"HCTH")</f>
        <v>HCTH</v>
      </c>
      <c r="E25" s="168">
        <f t="shared" si="1"/>
        <v>5</v>
      </c>
      <c r="F25" s="168">
        <f t="shared" si="2"/>
        <v>3</v>
      </c>
      <c r="G25" s="168">
        <f t="shared" si="3"/>
        <v>2</v>
      </c>
      <c r="H25" s="169"/>
      <c r="I25" s="169"/>
      <c r="J25" s="173"/>
      <c r="K25" s="169">
        <v>3.0</v>
      </c>
      <c r="L25" s="169">
        <f>VLOOKUP(B25,'Công T5'!$B$8:$AO$89,40,0)</f>
        <v>0</v>
      </c>
      <c r="M25" s="173"/>
      <c r="N25" s="173"/>
      <c r="O25" s="173"/>
      <c r="P25" s="173"/>
      <c r="Q25" s="173"/>
      <c r="R25" s="173"/>
      <c r="S25" s="173"/>
      <c r="T25" s="170">
        <v>42826.0</v>
      </c>
      <c r="U25" s="171">
        <f t="shared" si="4"/>
        <v>1</v>
      </c>
      <c r="V25" s="171"/>
      <c r="W25" s="171"/>
      <c r="X25" s="172">
        <v>1.0</v>
      </c>
      <c r="Y25" s="172">
        <v>1.0</v>
      </c>
      <c r="Z25" s="172">
        <v>1.0</v>
      </c>
      <c r="AA25" s="172">
        <v>1.0</v>
      </c>
      <c r="AB25" s="171"/>
      <c r="AC25" s="171"/>
      <c r="AD25" s="171"/>
      <c r="AE25" s="171"/>
      <c r="AF25" s="171"/>
      <c r="AG25" s="171"/>
    </row>
    <row r="26">
      <c r="A26" s="174">
        <f>IFERROR(__xludf.DUMMYFUNCTION("""COMPUTED_VALUE"""),15.0)</f>
        <v>15</v>
      </c>
      <c r="B26" s="175">
        <f>IFERROR(__xludf.DUMMYFUNCTION("""COMPUTED_VALUE"""),10398.0)</f>
        <v>10398</v>
      </c>
      <c r="C26" s="176" t="str">
        <f>IFERROR(__xludf.DUMMYFUNCTION("""COMPUTED_VALUE"""),"Lê Văn Bình")</f>
        <v>Lê Văn Bình</v>
      </c>
      <c r="D26" s="176" t="str">
        <f>IFERROR(__xludf.DUMMYFUNCTION("""COMPUTED_VALUE"""),"HCTH")</f>
        <v>HCTH</v>
      </c>
      <c r="E26" s="177">
        <f t="shared" si="1"/>
        <v>0</v>
      </c>
      <c r="F26" s="177">
        <f t="shared" si="2"/>
        <v>0</v>
      </c>
      <c r="G26" s="177">
        <f t="shared" si="3"/>
        <v>0</v>
      </c>
      <c r="H26" s="177"/>
      <c r="I26" s="177"/>
      <c r="J26" s="178"/>
      <c r="K26" s="177">
        <v>0.0</v>
      </c>
      <c r="L26" s="177">
        <f>VLOOKUP(B26,'Công T5'!$B$8:$AO$89,40,0)</f>
        <v>0</v>
      </c>
      <c r="M26" s="178"/>
      <c r="N26" s="178"/>
      <c r="O26" s="178"/>
      <c r="P26" s="178"/>
      <c r="Q26" s="178"/>
      <c r="R26" s="178"/>
      <c r="S26" s="178"/>
      <c r="T26" s="179">
        <v>44470.0</v>
      </c>
      <c r="U26" s="171">
        <f t="shared" si="4"/>
        <v>0</v>
      </c>
      <c r="V26" s="180"/>
      <c r="W26" s="180"/>
      <c r="X26" s="181"/>
      <c r="Y26" s="181"/>
      <c r="Z26" s="181"/>
      <c r="AA26" s="180"/>
      <c r="AB26" s="180"/>
      <c r="AC26" s="180"/>
      <c r="AD26" s="180"/>
      <c r="AE26" s="180"/>
      <c r="AF26" s="180"/>
      <c r="AG26" s="180"/>
    </row>
    <row r="27">
      <c r="A27" s="166">
        <f>IFERROR(__xludf.DUMMYFUNCTION("""COMPUTED_VALUE"""),16.0)</f>
        <v>16</v>
      </c>
      <c r="B27" s="167">
        <f>IFERROR(__xludf.DUMMYFUNCTION("""COMPUTED_VALUE"""),10007.0)</f>
        <v>10007</v>
      </c>
      <c r="C27" s="83" t="str">
        <f>IFERROR(__xludf.DUMMYFUNCTION("""COMPUTED_VALUE"""),"Vũ Thị Phượng")</f>
        <v>Vũ Thị Phượng</v>
      </c>
      <c r="D27" s="83" t="str">
        <f>IFERROR(__xludf.DUMMYFUNCTION("""COMPUTED_VALUE"""),"HCTH")</f>
        <v>HCTH</v>
      </c>
      <c r="E27" s="168">
        <f t="shared" si="1"/>
        <v>5</v>
      </c>
      <c r="F27" s="168">
        <f t="shared" si="2"/>
        <v>2</v>
      </c>
      <c r="G27" s="168">
        <f t="shared" si="3"/>
        <v>3</v>
      </c>
      <c r="H27" s="169"/>
      <c r="I27" s="169"/>
      <c r="J27" s="173"/>
      <c r="K27" s="169">
        <v>2.0</v>
      </c>
      <c r="L27" s="169">
        <f>VLOOKUP(B27,'Công T5'!$B$8:$AO$89,40,0)</f>
        <v>0</v>
      </c>
      <c r="M27" s="173"/>
      <c r="N27" s="173"/>
      <c r="O27" s="173"/>
      <c r="P27" s="173"/>
      <c r="Q27" s="173"/>
      <c r="R27" s="173"/>
      <c r="S27" s="173"/>
      <c r="T27" s="170">
        <v>41792.0</v>
      </c>
      <c r="U27" s="171">
        <f t="shared" si="4"/>
        <v>1</v>
      </c>
      <c r="V27" s="171"/>
      <c r="W27" s="171"/>
      <c r="X27" s="172">
        <v>1.0</v>
      </c>
      <c r="Y27" s="172">
        <v>1.0</v>
      </c>
      <c r="Z27" s="172">
        <v>1.0</v>
      </c>
      <c r="AA27" s="172">
        <v>1.0</v>
      </c>
      <c r="AB27" s="171"/>
      <c r="AC27" s="171"/>
      <c r="AD27" s="171"/>
      <c r="AE27" s="171"/>
      <c r="AF27" s="171"/>
      <c r="AG27" s="171"/>
    </row>
    <row r="28">
      <c r="A28" s="166">
        <f>IFERROR(__xludf.DUMMYFUNCTION("""COMPUTED_VALUE"""),17.0)</f>
        <v>17</v>
      </c>
      <c r="B28" s="167">
        <f>IFERROR(__xludf.DUMMYFUNCTION("""COMPUTED_VALUE"""),10139.0)</f>
        <v>10139</v>
      </c>
      <c r="C28" s="83" t="str">
        <f>IFERROR(__xludf.DUMMYFUNCTION("""COMPUTED_VALUE"""),"Nguyễn Đình Long")</f>
        <v>Nguyễn Đình Long</v>
      </c>
      <c r="D28" s="83" t="str">
        <f>IFERROR(__xludf.DUMMYFUNCTION("""COMPUTED_VALUE"""),"HCTH")</f>
        <v>HCTH</v>
      </c>
      <c r="E28" s="168">
        <f t="shared" si="1"/>
        <v>5</v>
      </c>
      <c r="F28" s="168">
        <f t="shared" si="2"/>
        <v>1</v>
      </c>
      <c r="G28" s="168">
        <f t="shared" si="3"/>
        <v>4</v>
      </c>
      <c r="H28" s="169"/>
      <c r="I28" s="169"/>
      <c r="J28" s="173"/>
      <c r="K28" s="169">
        <v>1.0</v>
      </c>
      <c r="L28" s="169">
        <f>VLOOKUP(B28,'Công T5'!$B$8:$AO$89,40,0)</f>
        <v>0</v>
      </c>
      <c r="M28" s="173"/>
      <c r="N28" s="173"/>
      <c r="O28" s="173"/>
      <c r="P28" s="173"/>
      <c r="Q28" s="173"/>
      <c r="R28" s="173"/>
      <c r="S28" s="173"/>
      <c r="T28" s="170">
        <v>42999.0</v>
      </c>
      <c r="U28" s="171">
        <f t="shared" si="4"/>
        <v>1</v>
      </c>
      <c r="V28" s="171"/>
      <c r="W28" s="171"/>
      <c r="X28" s="172">
        <v>1.0</v>
      </c>
      <c r="Y28" s="172">
        <v>1.0</v>
      </c>
      <c r="Z28" s="172">
        <v>1.0</v>
      </c>
      <c r="AA28" s="172">
        <v>1.0</v>
      </c>
      <c r="AB28" s="171"/>
      <c r="AC28" s="171"/>
      <c r="AD28" s="171"/>
      <c r="AE28" s="171"/>
      <c r="AF28" s="171"/>
      <c r="AG28" s="171"/>
    </row>
    <row r="29">
      <c r="A29" s="166">
        <f>IFERROR(__xludf.DUMMYFUNCTION("""COMPUTED_VALUE"""),18.0)</f>
        <v>18</v>
      </c>
      <c r="B29" s="167">
        <f>IFERROR(__xludf.DUMMYFUNCTION("""COMPUTED_VALUE"""),10061.0)</f>
        <v>10061</v>
      </c>
      <c r="C29" s="83" t="str">
        <f>IFERROR(__xludf.DUMMYFUNCTION("""COMPUTED_VALUE"""),"Phạm Thị Bích")</f>
        <v>Phạm Thị Bích</v>
      </c>
      <c r="D29" s="83" t="str">
        <f>IFERROR(__xludf.DUMMYFUNCTION("""COMPUTED_VALUE"""),"HCTH")</f>
        <v>HCTH</v>
      </c>
      <c r="E29" s="168">
        <f t="shared" si="1"/>
        <v>5</v>
      </c>
      <c r="F29" s="168">
        <f t="shared" si="2"/>
        <v>1</v>
      </c>
      <c r="G29" s="168">
        <f t="shared" si="3"/>
        <v>4</v>
      </c>
      <c r="H29" s="169"/>
      <c r="I29" s="169"/>
      <c r="J29" s="173"/>
      <c r="K29" s="169">
        <v>1.0</v>
      </c>
      <c r="L29" s="169">
        <f>VLOOKUP(B29,'Công T5'!$B$8:$AO$89,40,0)</f>
        <v>0</v>
      </c>
      <c r="M29" s="173"/>
      <c r="N29" s="173"/>
      <c r="O29" s="173"/>
      <c r="P29" s="173"/>
      <c r="Q29" s="173"/>
      <c r="R29" s="173"/>
      <c r="S29" s="173"/>
      <c r="T29" s="170">
        <v>42564.0</v>
      </c>
      <c r="U29" s="171">
        <f t="shared" si="4"/>
        <v>1</v>
      </c>
      <c r="V29" s="171"/>
      <c r="W29" s="171"/>
      <c r="X29" s="172">
        <v>1.0</v>
      </c>
      <c r="Y29" s="172">
        <v>1.0</v>
      </c>
      <c r="Z29" s="172">
        <v>1.0</v>
      </c>
      <c r="AA29" s="172">
        <v>1.0</v>
      </c>
      <c r="AB29" s="171"/>
      <c r="AC29" s="171"/>
      <c r="AD29" s="171"/>
      <c r="AE29" s="171"/>
      <c r="AF29" s="171"/>
      <c r="AG29" s="171"/>
    </row>
    <row r="30" hidden="1">
      <c r="A30" s="166">
        <f>IFERROR(__xludf.DUMMYFUNCTION("""COMPUTED_VALUE"""),21.0)</f>
        <v>21</v>
      </c>
      <c r="B30" s="167">
        <f>IFERROR(__xludf.DUMMYFUNCTION("""COMPUTED_VALUE"""),10405.0)</f>
        <v>10405</v>
      </c>
      <c r="C30" s="83" t="str">
        <f>IFERROR(__xludf.DUMMYFUNCTION("""COMPUTED_VALUE"""),"Lê Văn Chuyển")</f>
        <v>Lê Văn Chuyển</v>
      </c>
      <c r="D30" s="83" t="str">
        <f>IFERROR(__xludf.DUMMYFUNCTION("""COMPUTED_VALUE"""),"HCTH")</f>
        <v>HCTH</v>
      </c>
      <c r="E30" s="168">
        <f t="shared" si="1"/>
        <v>0</v>
      </c>
      <c r="F30" s="168">
        <f t="shared" si="2"/>
        <v>0</v>
      </c>
      <c r="G30" s="168">
        <f t="shared" si="3"/>
        <v>0</v>
      </c>
      <c r="H30" s="169"/>
      <c r="I30" s="169"/>
      <c r="J30" s="173"/>
      <c r="K30" s="169">
        <v>0.0</v>
      </c>
      <c r="L30" s="169">
        <f>VLOOKUP(B30,'Công T5'!$B$8:$AO$89,40,0)</f>
        <v>0</v>
      </c>
      <c r="M30" s="173"/>
      <c r="N30" s="173"/>
      <c r="O30" s="173"/>
      <c r="P30" s="173"/>
      <c r="Q30" s="173"/>
      <c r="R30" s="173"/>
      <c r="S30" s="173"/>
      <c r="T30" s="182" t="s">
        <v>301</v>
      </c>
      <c r="U30" s="171">
        <f t="shared" si="4"/>
        <v>0</v>
      </c>
      <c r="V30" s="171"/>
      <c r="W30" s="171"/>
      <c r="X30" s="172"/>
      <c r="Y30" s="172"/>
      <c r="Z30" s="171"/>
      <c r="AA30" s="171"/>
      <c r="AB30" s="171"/>
      <c r="AC30" s="171"/>
      <c r="AD30" s="171"/>
      <c r="AE30" s="171"/>
      <c r="AF30" s="171"/>
      <c r="AG30" s="171"/>
    </row>
    <row r="31" hidden="1">
      <c r="A31" s="166"/>
      <c r="B31" s="167"/>
      <c r="C31" s="83"/>
      <c r="D31" s="83"/>
      <c r="E31" s="168">
        <f t="shared" si="1"/>
        <v>2</v>
      </c>
      <c r="F31" s="168" t="str">
        <f t="shared" si="2"/>
        <v>#N/A</v>
      </c>
      <c r="G31" s="168" t="str">
        <f t="shared" si="3"/>
        <v>#N/A</v>
      </c>
      <c r="H31" s="169"/>
      <c r="I31" s="169"/>
      <c r="J31" s="173"/>
      <c r="K31" s="169"/>
      <c r="L31" s="169" t="str">
        <f>VLOOKUP(B31,'Công T5'!$B$8:$AO$89,40,0)</f>
        <v>#N/A</v>
      </c>
      <c r="M31" s="173"/>
      <c r="N31" s="173"/>
      <c r="O31" s="173"/>
      <c r="P31" s="173"/>
      <c r="Q31" s="173"/>
      <c r="R31" s="173"/>
      <c r="S31" s="173"/>
      <c r="T31" s="170" t="e">
        <v>#N/A</v>
      </c>
      <c r="U31" s="171">
        <f t="shared" si="4"/>
        <v>0</v>
      </c>
      <c r="V31" s="171"/>
      <c r="W31" s="171"/>
      <c r="X31" s="172">
        <v>1.0</v>
      </c>
      <c r="Y31" s="172">
        <v>1.0</v>
      </c>
      <c r="Z31" s="171"/>
      <c r="AA31" s="171"/>
      <c r="AB31" s="171"/>
      <c r="AC31" s="171"/>
      <c r="AD31" s="171"/>
      <c r="AE31" s="171"/>
      <c r="AF31" s="171"/>
      <c r="AG31" s="171"/>
    </row>
    <row r="32" hidden="1">
      <c r="A32" s="166"/>
      <c r="B32" s="167"/>
      <c r="C32" s="83"/>
      <c r="D32" s="83"/>
      <c r="E32" s="168">
        <f t="shared" si="1"/>
        <v>2</v>
      </c>
      <c r="F32" s="168" t="str">
        <f t="shared" si="2"/>
        <v>#N/A</v>
      </c>
      <c r="G32" s="168" t="str">
        <f t="shared" si="3"/>
        <v>#N/A</v>
      </c>
      <c r="H32" s="169"/>
      <c r="I32" s="169"/>
      <c r="J32" s="173"/>
      <c r="K32" s="169"/>
      <c r="L32" s="169" t="str">
        <f>VLOOKUP(B32,'Công T5'!$B$8:$AO$89,40,0)</f>
        <v>#N/A</v>
      </c>
      <c r="M32" s="173"/>
      <c r="N32" s="173"/>
      <c r="O32" s="173"/>
      <c r="P32" s="173"/>
      <c r="Q32" s="173"/>
      <c r="R32" s="173"/>
      <c r="S32" s="173"/>
      <c r="T32" s="170" t="e">
        <v>#N/A</v>
      </c>
      <c r="U32" s="171">
        <f t="shared" si="4"/>
        <v>0</v>
      </c>
      <c r="V32" s="171"/>
      <c r="W32" s="171"/>
      <c r="X32" s="172">
        <v>1.0</v>
      </c>
      <c r="Y32" s="172">
        <v>1.0</v>
      </c>
      <c r="Z32" s="171"/>
      <c r="AA32" s="171"/>
      <c r="AB32" s="171"/>
      <c r="AC32" s="171"/>
      <c r="AD32" s="171"/>
      <c r="AE32" s="171"/>
      <c r="AF32" s="171"/>
      <c r="AG32" s="171"/>
    </row>
    <row r="33" hidden="1">
      <c r="A33" s="166"/>
      <c r="B33" s="167"/>
      <c r="C33" s="83"/>
      <c r="D33" s="83"/>
      <c r="E33" s="168">
        <f t="shared" si="1"/>
        <v>2</v>
      </c>
      <c r="F33" s="168" t="str">
        <f t="shared" si="2"/>
        <v>#N/A</v>
      </c>
      <c r="G33" s="168" t="str">
        <f t="shared" si="3"/>
        <v>#N/A</v>
      </c>
      <c r="H33" s="169"/>
      <c r="I33" s="169"/>
      <c r="J33" s="173"/>
      <c r="K33" s="169"/>
      <c r="L33" s="169" t="str">
        <f>VLOOKUP(B33,'Công T5'!$B$8:$AO$89,40,0)</f>
        <v>#N/A</v>
      </c>
      <c r="M33" s="173"/>
      <c r="N33" s="173"/>
      <c r="O33" s="173"/>
      <c r="P33" s="173"/>
      <c r="Q33" s="173"/>
      <c r="R33" s="173"/>
      <c r="S33" s="173"/>
      <c r="T33" s="170" t="e">
        <v>#N/A</v>
      </c>
      <c r="U33" s="171">
        <f t="shared" si="4"/>
        <v>0</v>
      </c>
      <c r="V33" s="171"/>
      <c r="W33" s="171"/>
      <c r="X33" s="172">
        <v>1.0</v>
      </c>
      <c r="Y33" s="172">
        <v>1.0</v>
      </c>
      <c r="Z33" s="171"/>
      <c r="AA33" s="171"/>
      <c r="AB33" s="171"/>
      <c r="AC33" s="171"/>
      <c r="AD33" s="171"/>
      <c r="AE33" s="171"/>
      <c r="AF33" s="171"/>
      <c r="AG33" s="171"/>
    </row>
    <row r="34" hidden="1">
      <c r="A34" s="166"/>
      <c r="B34" s="167"/>
      <c r="C34" s="83"/>
      <c r="D34" s="83"/>
      <c r="E34" s="168">
        <f t="shared" si="1"/>
        <v>2</v>
      </c>
      <c r="F34" s="168" t="str">
        <f t="shared" si="2"/>
        <v>#N/A</v>
      </c>
      <c r="G34" s="168" t="str">
        <f t="shared" si="3"/>
        <v>#N/A</v>
      </c>
      <c r="H34" s="169"/>
      <c r="I34" s="169"/>
      <c r="J34" s="173"/>
      <c r="K34" s="169"/>
      <c r="L34" s="169" t="str">
        <f>VLOOKUP(B34,'Công T5'!$B$8:$AO$89,40,0)</f>
        <v>#N/A</v>
      </c>
      <c r="M34" s="173"/>
      <c r="N34" s="173"/>
      <c r="O34" s="173"/>
      <c r="P34" s="173"/>
      <c r="Q34" s="173"/>
      <c r="R34" s="173"/>
      <c r="S34" s="173"/>
      <c r="T34" s="170" t="e">
        <v>#N/A</v>
      </c>
      <c r="U34" s="171">
        <f t="shared" si="4"/>
        <v>0</v>
      </c>
      <c r="V34" s="171"/>
      <c r="W34" s="171"/>
      <c r="X34" s="172">
        <v>1.0</v>
      </c>
      <c r="Y34" s="172">
        <v>1.0</v>
      </c>
      <c r="Z34" s="171"/>
      <c r="AA34" s="171"/>
      <c r="AB34" s="171"/>
      <c r="AC34" s="171"/>
      <c r="AD34" s="171"/>
      <c r="AE34" s="171"/>
      <c r="AF34" s="171"/>
      <c r="AG34" s="171"/>
    </row>
    <row r="35">
      <c r="A35" s="166">
        <f>IFERROR(__xludf.DUMMYFUNCTION("""COMPUTED_VALUE"""),19.0)</f>
        <v>19</v>
      </c>
      <c r="B35" s="167">
        <f>IFERROR(__xludf.DUMMYFUNCTION("""COMPUTED_VALUE"""),10005.0)</f>
        <v>10005</v>
      </c>
      <c r="C35" s="83" t="str">
        <f>IFERROR(__xludf.DUMMYFUNCTION("""COMPUTED_VALUE"""),"Lê Thị Hảo")</f>
        <v>Lê Thị Hảo</v>
      </c>
      <c r="D35" s="83" t="str">
        <f>IFERROR(__xludf.DUMMYFUNCTION("""COMPUTED_VALUE"""),"KT")</f>
        <v>KT</v>
      </c>
      <c r="E35" s="168">
        <f t="shared" si="1"/>
        <v>5</v>
      </c>
      <c r="F35" s="168">
        <f t="shared" si="2"/>
        <v>1</v>
      </c>
      <c r="G35" s="168">
        <f t="shared" si="3"/>
        <v>4</v>
      </c>
      <c r="H35" s="169"/>
      <c r="I35" s="169"/>
      <c r="J35" s="173"/>
      <c r="K35" s="169">
        <v>1.0</v>
      </c>
      <c r="L35" s="169">
        <f>VLOOKUP(B35,'Công T5'!$B$8:$AO$89,40,0)</f>
        <v>0</v>
      </c>
      <c r="M35" s="173"/>
      <c r="N35" s="173"/>
      <c r="O35" s="173"/>
      <c r="P35" s="173"/>
      <c r="Q35" s="173"/>
      <c r="R35" s="173"/>
      <c r="S35" s="173"/>
      <c r="T35" s="170">
        <v>41579.0</v>
      </c>
      <c r="U35" s="171">
        <f t="shared" si="4"/>
        <v>1</v>
      </c>
      <c r="V35" s="171"/>
      <c r="W35" s="171"/>
      <c r="X35" s="172">
        <v>1.0</v>
      </c>
      <c r="Y35" s="172">
        <v>1.0</v>
      </c>
      <c r="Z35" s="172">
        <v>1.0</v>
      </c>
      <c r="AA35" s="172">
        <v>1.0</v>
      </c>
      <c r="AB35" s="171"/>
      <c r="AC35" s="171"/>
      <c r="AD35" s="171"/>
      <c r="AE35" s="171"/>
      <c r="AF35" s="171"/>
      <c r="AG35" s="171"/>
    </row>
    <row r="36">
      <c r="A36" s="166">
        <f>IFERROR(__xludf.DUMMYFUNCTION("""COMPUTED_VALUE"""),23.0)</f>
        <v>23</v>
      </c>
      <c r="B36" s="167">
        <f>IFERROR(__xludf.DUMMYFUNCTION("""COMPUTED_VALUE"""),10041.0)</f>
        <v>10041</v>
      </c>
      <c r="C36" s="83" t="str">
        <f>IFERROR(__xludf.DUMMYFUNCTION("""COMPUTED_VALUE"""),"Nguyễn Thị Thảo")</f>
        <v>Nguyễn Thị Thảo</v>
      </c>
      <c r="D36" s="83" t="str">
        <f>IFERROR(__xludf.DUMMYFUNCTION("""COMPUTED_VALUE"""),"KT")</f>
        <v>KT</v>
      </c>
      <c r="E36" s="168">
        <f t="shared" si="1"/>
        <v>3</v>
      </c>
      <c r="F36" s="168">
        <f t="shared" si="2"/>
        <v>1</v>
      </c>
      <c r="G36" s="168">
        <f t="shared" si="3"/>
        <v>2</v>
      </c>
      <c r="H36" s="169"/>
      <c r="I36" s="169"/>
      <c r="J36" s="173"/>
      <c r="K36" s="169">
        <v>1.0</v>
      </c>
      <c r="L36" s="169">
        <f>VLOOKUP(B36,'Công T5'!$B$8:$AO$89,40,0)</f>
        <v>0</v>
      </c>
      <c r="M36" s="173"/>
      <c r="N36" s="173"/>
      <c r="O36" s="173"/>
      <c r="P36" s="173"/>
      <c r="Q36" s="173"/>
      <c r="R36" s="173"/>
      <c r="S36" s="173"/>
      <c r="T36" s="170">
        <v>42443.0</v>
      </c>
      <c r="U36" s="171">
        <f t="shared" si="4"/>
        <v>1</v>
      </c>
      <c r="V36" s="171"/>
      <c r="W36" s="171"/>
      <c r="X36" s="172">
        <v>1.0</v>
      </c>
      <c r="Y36" s="172"/>
      <c r="Z36" s="172"/>
      <c r="AA36" s="172">
        <v>1.0</v>
      </c>
      <c r="AB36" s="171"/>
      <c r="AC36" s="171"/>
      <c r="AD36" s="171"/>
      <c r="AE36" s="171"/>
      <c r="AF36" s="171"/>
      <c r="AG36" s="171"/>
    </row>
    <row r="37">
      <c r="A37" s="166">
        <f>IFERROR(__xludf.DUMMYFUNCTION("""COMPUTED_VALUE"""),20.0)</f>
        <v>20</v>
      </c>
      <c r="B37" s="167">
        <f>IFERROR(__xludf.DUMMYFUNCTION("""COMPUTED_VALUE"""),10210.0)</f>
        <v>10210</v>
      </c>
      <c r="C37" s="83" t="str">
        <f>IFERROR(__xludf.DUMMYFUNCTION("""COMPUTED_VALUE"""),"Nguyễn Thị Lành")</f>
        <v>Nguyễn Thị Lành</v>
      </c>
      <c r="D37" s="83" t="str">
        <f>IFERROR(__xludf.DUMMYFUNCTION("""COMPUTED_VALUE"""),"KT")</f>
        <v>KT</v>
      </c>
      <c r="E37" s="168">
        <f t="shared" si="1"/>
        <v>5</v>
      </c>
      <c r="F37" s="168">
        <f t="shared" si="2"/>
        <v>1</v>
      </c>
      <c r="G37" s="168">
        <f t="shared" si="3"/>
        <v>4</v>
      </c>
      <c r="H37" s="169"/>
      <c r="I37" s="169"/>
      <c r="J37" s="173"/>
      <c r="K37" s="169">
        <v>1.0</v>
      </c>
      <c r="L37" s="169">
        <f>VLOOKUP(B37,'Công T5'!$B$8:$AO$89,40,0)</f>
        <v>0</v>
      </c>
      <c r="M37" s="173"/>
      <c r="N37" s="173"/>
      <c r="O37" s="173"/>
      <c r="P37" s="173"/>
      <c r="Q37" s="173"/>
      <c r="R37" s="173"/>
      <c r="S37" s="173"/>
      <c r="T37" s="170">
        <v>43313.0</v>
      </c>
      <c r="U37" s="171">
        <f t="shared" si="4"/>
        <v>1</v>
      </c>
      <c r="V37" s="171"/>
      <c r="W37" s="171"/>
      <c r="X37" s="172">
        <v>1.0</v>
      </c>
      <c r="Y37" s="172">
        <v>1.0</v>
      </c>
      <c r="Z37" s="172">
        <v>1.0</v>
      </c>
      <c r="AA37" s="172">
        <v>1.0</v>
      </c>
      <c r="AB37" s="171"/>
      <c r="AC37" s="171"/>
      <c r="AD37" s="171"/>
      <c r="AE37" s="171"/>
      <c r="AF37" s="171"/>
      <c r="AG37" s="171"/>
    </row>
    <row r="38" hidden="1">
      <c r="A38" s="166"/>
      <c r="B38" s="167"/>
      <c r="C38" s="83"/>
      <c r="D38" s="83"/>
      <c r="E38" s="168">
        <f t="shared" si="1"/>
        <v>3</v>
      </c>
      <c r="F38" s="168" t="str">
        <f t="shared" si="2"/>
        <v>#N/A</v>
      </c>
      <c r="G38" s="168" t="str">
        <f t="shared" si="3"/>
        <v>#N/A</v>
      </c>
      <c r="H38" s="169"/>
      <c r="I38" s="169"/>
      <c r="J38" s="173"/>
      <c r="K38" s="169"/>
      <c r="L38" s="169" t="str">
        <f>VLOOKUP(B38,'Công T5'!$B$8:$AO$89,40,0)</f>
        <v>#N/A</v>
      </c>
      <c r="M38" s="173"/>
      <c r="N38" s="173"/>
      <c r="O38" s="173"/>
      <c r="P38" s="173"/>
      <c r="Q38" s="173"/>
      <c r="R38" s="173"/>
      <c r="S38" s="173"/>
      <c r="T38" s="170" t="e">
        <v>#N/A</v>
      </c>
      <c r="U38" s="171">
        <f t="shared" si="4"/>
        <v>0</v>
      </c>
      <c r="V38" s="171"/>
      <c r="W38" s="171"/>
      <c r="X38" s="172">
        <v>1.0</v>
      </c>
      <c r="Y38" s="172">
        <v>1.0</v>
      </c>
      <c r="Z38" s="172">
        <v>1.0</v>
      </c>
      <c r="AA38" s="171"/>
      <c r="AB38" s="171"/>
      <c r="AC38" s="171"/>
      <c r="AD38" s="171"/>
      <c r="AE38" s="171"/>
      <c r="AF38" s="171"/>
      <c r="AG38" s="171"/>
    </row>
    <row r="39">
      <c r="A39" s="166">
        <f>IFERROR(__xludf.DUMMYFUNCTION("""COMPUTED_VALUE"""),21.0)</f>
        <v>21</v>
      </c>
      <c r="B39" s="167">
        <f>IFERROR(__xludf.DUMMYFUNCTION("""COMPUTED_VALUE"""),10085.0)</f>
        <v>10085</v>
      </c>
      <c r="C39" s="83" t="str">
        <f>IFERROR(__xludf.DUMMYFUNCTION("""COMPUTED_VALUE"""),"Nguyễn Thị Thúy Ngân")</f>
        <v>Nguyễn Thị Thúy Ngân</v>
      </c>
      <c r="D39" s="83" t="str">
        <f>IFERROR(__xludf.DUMMYFUNCTION("""COMPUTED_VALUE"""),"NV")</f>
        <v>NV</v>
      </c>
      <c r="E39" s="168">
        <f t="shared" si="1"/>
        <v>5</v>
      </c>
      <c r="F39" s="168">
        <f t="shared" si="2"/>
        <v>1</v>
      </c>
      <c r="G39" s="168">
        <f t="shared" si="3"/>
        <v>4</v>
      </c>
      <c r="H39" s="169"/>
      <c r="I39" s="169"/>
      <c r="J39" s="173"/>
      <c r="K39" s="169">
        <v>1.0</v>
      </c>
      <c r="L39" s="169">
        <f>VLOOKUP(B39,'Công T5'!$B$8:$AO$89,40,0)</f>
        <v>0</v>
      </c>
      <c r="M39" s="173"/>
      <c r="N39" s="173"/>
      <c r="O39" s="173"/>
      <c r="P39" s="173"/>
      <c r="Q39" s="173"/>
      <c r="R39" s="173"/>
      <c r="S39" s="173"/>
      <c r="T39" s="170">
        <v>42745.0</v>
      </c>
      <c r="U39" s="171">
        <f t="shared" si="4"/>
        <v>1</v>
      </c>
      <c r="V39" s="171"/>
      <c r="W39" s="171"/>
      <c r="X39" s="172">
        <v>1.0</v>
      </c>
      <c r="Y39" s="172">
        <v>1.0</v>
      </c>
      <c r="Z39" s="172">
        <v>1.0</v>
      </c>
      <c r="AA39" s="172">
        <v>1.0</v>
      </c>
      <c r="AB39" s="171"/>
      <c r="AC39" s="171"/>
      <c r="AD39" s="171"/>
      <c r="AE39" s="171"/>
      <c r="AF39" s="171"/>
      <c r="AG39" s="171"/>
    </row>
    <row r="40">
      <c r="A40" s="166">
        <f>IFERROR(__xludf.DUMMYFUNCTION("""COMPUTED_VALUE"""),22.0)</f>
        <v>22</v>
      </c>
      <c r="B40" s="167">
        <f>IFERROR(__xludf.DUMMYFUNCTION("""COMPUTED_VALUE"""),10006.0)</f>
        <v>10006</v>
      </c>
      <c r="C40" s="83" t="str">
        <f>IFERROR(__xludf.DUMMYFUNCTION("""COMPUTED_VALUE"""),"Trịnh Thị Huyền Trang")</f>
        <v>Trịnh Thị Huyền Trang</v>
      </c>
      <c r="D40" s="83" t="str">
        <f>IFERROR(__xludf.DUMMYFUNCTION("""COMPUTED_VALUE"""),"NV")</f>
        <v>NV</v>
      </c>
      <c r="E40" s="168">
        <f t="shared" si="1"/>
        <v>5</v>
      </c>
      <c r="F40" s="168">
        <f t="shared" si="2"/>
        <v>3</v>
      </c>
      <c r="G40" s="168">
        <f t="shared" si="3"/>
        <v>2</v>
      </c>
      <c r="H40" s="169"/>
      <c r="I40" s="169"/>
      <c r="J40" s="173"/>
      <c r="K40" s="169">
        <v>3.0</v>
      </c>
      <c r="L40" s="169">
        <f>VLOOKUP(B40,'Công T5'!$B$8:$AO$89,40,0)</f>
        <v>0</v>
      </c>
      <c r="M40" s="173"/>
      <c r="N40" s="173"/>
      <c r="O40" s="173"/>
      <c r="P40" s="173"/>
      <c r="Q40" s="173"/>
      <c r="R40" s="173"/>
      <c r="S40" s="173"/>
      <c r="T40" s="170">
        <v>41641.0</v>
      </c>
      <c r="U40" s="171">
        <f t="shared" si="4"/>
        <v>1</v>
      </c>
      <c r="V40" s="171"/>
      <c r="W40" s="171"/>
      <c r="X40" s="172">
        <v>1.0</v>
      </c>
      <c r="Y40" s="172">
        <v>1.0</v>
      </c>
      <c r="Z40" s="172">
        <v>1.0</v>
      </c>
      <c r="AA40" s="172">
        <v>1.0</v>
      </c>
      <c r="AB40" s="171"/>
      <c r="AC40" s="171"/>
      <c r="AD40" s="171"/>
      <c r="AE40" s="171"/>
      <c r="AF40" s="171"/>
      <c r="AG40" s="171"/>
    </row>
    <row r="41">
      <c r="A41" s="166">
        <f>IFERROR(__xludf.DUMMYFUNCTION("""COMPUTED_VALUE"""),23.0)</f>
        <v>23</v>
      </c>
      <c r="B41" s="167">
        <f>IFERROR(__xludf.DUMMYFUNCTION("""COMPUTED_VALUE"""),10176.0)</f>
        <v>10176</v>
      </c>
      <c r="C41" s="83" t="str">
        <f>IFERROR(__xludf.DUMMYFUNCTION("""COMPUTED_VALUE"""),"Hoàng Văn Cường")</f>
        <v>Hoàng Văn Cường</v>
      </c>
      <c r="D41" s="83" t="str">
        <f>IFERROR(__xludf.DUMMYFUNCTION("""COMPUTED_VALUE"""),"NV")</f>
        <v>NV</v>
      </c>
      <c r="E41" s="168">
        <f t="shared" si="1"/>
        <v>5</v>
      </c>
      <c r="F41" s="168">
        <f t="shared" si="2"/>
        <v>0</v>
      </c>
      <c r="G41" s="168">
        <f t="shared" si="3"/>
        <v>5</v>
      </c>
      <c r="H41" s="169"/>
      <c r="I41" s="169"/>
      <c r="J41" s="173"/>
      <c r="K41" s="169">
        <v>0.0</v>
      </c>
      <c r="L41" s="169">
        <f>VLOOKUP(B41,'Công T5'!$B$8:$AO$89,40,0)</f>
        <v>0</v>
      </c>
      <c r="M41" s="173"/>
      <c r="N41" s="173"/>
      <c r="O41" s="173"/>
      <c r="P41" s="173"/>
      <c r="Q41" s="173"/>
      <c r="R41" s="173"/>
      <c r="S41" s="173"/>
      <c r="T41" s="170">
        <v>43241.0</v>
      </c>
      <c r="U41" s="171">
        <f t="shared" si="4"/>
        <v>1</v>
      </c>
      <c r="V41" s="171"/>
      <c r="W41" s="171"/>
      <c r="X41" s="172">
        <v>1.0</v>
      </c>
      <c r="Y41" s="172">
        <v>1.0</v>
      </c>
      <c r="Z41" s="172">
        <v>1.0</v>
      </c>
      <c r="AA41" s="172">
        <v>1.0</v>
      </c>
      <c r="AB41" s="171"/>
      <c r="AC41" s="171"/>
      <c r="AD41" s="171"/>
      <c r="AE41" s="171"/>
      <c r="AF41" s="171"/>
      <c r="AG41" s="171"/>
    </row>
    <row r="42">
      <c r="A42" s="166">
        <f>IFERROR(__xludf.DUMMYFUNCTION("""COMPUTED_VALUE"""),24.0)</f>
        <v>24</v>
      </c>
      <c r="B42" s="167">
        <f>IFERROR(__xludf.DUMMYFUNCTION("""COMPUTED_VALUE"""),10080.0)</f>
        <v>10080</v>
      </c>
      <c r="C42" s="83" t="str">
        <f>IFERROR(__xludf.DUMMYFUNCTION("""COMPUTED_VALUE"""),"Nguyễn Thị Hà")</f>
        <v>Nguyễn Thị Hà</v>
      </c>
      <c r="D42" s="83" t="str">
        <f>IFERROR(__xludf.DUMMYFUNCTION("""COMPUTED_VALUE"""),"NV")</f>
        <v>NV</v>
      </c>
      <c r="E42" s="168">
        <f t="shared" si="1"/>
        <v>5</v>
      </c>
      <c r="F42" s="168">
        <f t="shared" si="2"/>
        <v>1</v>
      </c>
      <c r="G42" s="168">
        <f t="shared" si="3"/>
        <v>4</v>
      </c>
      <c r="H42" s="169"/>
      <c r="I42" s="169"/>
      <c r="J42" s="173"/>
      <c r="K42" s="169">
        <v>1.0</v>
      </c>
      <c r="L42" s="169">
        <f>VLOOKUP(B42,'Công T5'!$B$8:$AO$89,40,0)</f>
        <v>0</v>
      </c>
      <c r="M42" s="173"/>
      <c r="N42" s="173"/>
      <c r="O42" s="173"/>
      <c r="P42" s="173"/>
      <c r="Q42" s="173"/>
      <c r="R42" s="173"/>
      <c r="S42" s="173"/>
      <c r="T42" s="170">
        <v>42723.0</v>
      </c>
      <c r="U42" s="171">
        <f t="shared" si="4"/>
        <v>1</v>
      </c>
      <c r="V42" s="171"/>
      <c r="W42" s="171"/>
      <c r="X42" s="172">
        <v>1.0</v>
      </c>
      <c r="Y42" s="172">
        <v>1.0</v>
      </c>
      <c r="Z42" s="172">
        <v>1.0</v>
      </c>
      <c r="AA42" s="172">
        <v>1.0</v>
      </c>
      <c r="AB42" s="171"/>
      <c r="AC42" s="171"/>
      <c r="AD42" s="171"/>
      <c r="AE42" s="171"/>
      <c r="AF42" s="171"/>
      <c r="AG42" s="171"/>
    </row>
    <row r="43">
      <c r="A43" s="174">
        <f>IFERROR(__xludf.DUMMYFUNCTION("""COMPUTED_VALUE"""),25.0)</f>
        <v>25</v>
      </c>
      <c r="B43" s="175">
        <f>IFERROR(__xludf.DUMMYFUNCTION("""COMPUTED_VALUE"""),10011.0)</f>
        <v>10011</v>
      </c>
      <c r="C43" s="176" t="str">
        <f>IFERROR(__xludf.DUMMYFUNCTION("""COMPUTED_VALUE"""),"Nguyễn Thị Hồng Hạnh")</f>
        <v>Nguyễn Thị Hồng Hạnh</v>
      </c>
      <c r="D43" s="176" t="str">
        <f>IFERROR(__xludf.DUMMYFUNCTION("""COMPUTED_VALUE"""),"NV")</f>
        <v>NV</v>
      </c>
      <c r="E43" s="177">
        <f t="shared" si="1"/>
        <v>4</v>
      </c>
      <c r="F43" s="177">
        <f t="shared" si="2"/>
        <v>3</v>
      </c>
      <c r="G43" s="177">
        <f t="shared" si="3"/>
        <v>1</v>
      </c>
      <c r="H43" s="177"/>
      <c r="I43" s="177"/>
      <c r="J43" s="178"/>
      <c r="K43" s="177">
        <v>1.0</v>
      </c>
      <c r="L43" s="177">
        <f>VLOOKUP(B43,'Công T5'!$B$8:$AO$89,40,0)</f>
        <v>2</v>
      </c>
      <c r="M43" s="178"/>
      <c r="N43" s="178"/>
      <c r="O43" s="178"/>
      <c r="P43" s="178"/>
      <c r="Q43" s="178"/>
      <c r="R43" s="178"/>
      <c r="S43" s="178"/>
      <c r="T43" s="179">
        <v>43497.0</v>
      </c>
      <c r="U43" s="171">
        <f t="shared" si="4"/>
        <v>1</v>
      </c>
      <c r="V43" s="180"/>
      <c r="W43" s="180"/>
      <c r="X43" s="181">
        <v>1.0</v>
      </c>
      <c r="Y43" s="181">
        <v>1.0</v>
      </c>
      <c r="Z43" s="181">
        <v>1.0</v>
      </c>
      <c r="AA43" s="180"/>
      <c r="AB43" s="180"/>
      <c r="AC43" s="180"/>
      <c r="AD43" s="180"/>
      <c r="AE43" s="180"/>
      <c r="AF43" s="180"/>
      <c r="AG43" s="180"/>
    </row>
    <row r="44">
      <c r="A44" s="166">
        <f>IFERROR(__xludf.DUMMYFUNCTION("""COMPUTED_VALUE"""),26.0)</f>
        <v>26</v>
      </c>
      <c r="B44" s="167">
        <f>IFERROR(__xludf.DUMMYFUNCTION("""COMPUTED_VALUE"""),10360.0)</f>
        <v>10360</v>
      </c>
      <c r="C44" s="83" t="str">
        <f>IFERROR(__xludf.DUMMYFUNCTION("""COMPUTED_VALUE"""),"Nguyễn Thị Khuyên")</f>
        <v>Nguyễn Thị Khuyên</v>
      </c>
      <c r="D44" s="83" t="str">
        <f>IFERROR(__xludf.DUMMYFUNCTION("""COMPUTED_VALUE"""),"NV")</f>
        <v>NV</v>
      </c>
      <c r="E44" s="168">
        <f t="shared" si="1"/>
        <v>4</v>
      </c>
      <c r="F44" s="168">
        <f t="shared" si="2"/>
        <v>0</v>
      </c>
      <c r="G44" s="168">
        <f t="shared" si="3"/>
        <v>4</v>
      </c>
      <c r="H44" s="169"/>
      <c r="I44" s="169"/>
      <c r="J44" s="173"/>
      <c r="K44" s="169">
        <v>0.0</v>
      </c>
      <c r="L44" s="169">
        <f>VLOOKUP(B44,'Công T5'!$B$8:$AO$89,40,0)</f>
        <v>0</v>
      </c>
      <c r="M44" s="173"/>
      <c r="N44" s="173"/>
      <c r="O44" s="173"/>
      <c r="P44" s="173"/>
      <c r="Q44" s="173"/>
      <c r="R44" s="173"/>
      <c r="S44" s="173"/>
      <c r="T44" s="170">
        <v>43878.0</v>
      </c>
      <c r="U44" s="171">
        <f t="shared" si="4"/>
        <v>0</v>
      </c>
      <c r="V44" s="171"/>
      <c r="W44" s="171"/>
      <c r="X44" s="172">
        <v>1.0</v>
      </c>
      <c r="Y44" s="172">
        <v>1.0</v>
      </c>
      <c r="Z44" s="172">
        <v>1.0</v>
      </c>
      <c r="AA44" s="172">
        <v>1.0</v>
      </c>
      <c r="AB44" s="171"/>
      <c r="AC44" s="171"/>
      <c r="AD44" s="171"/>
      <c r="AE44" s="171"/>
      <c r="AF44" s="171"/>
      <c r="AG44" s="171"/>
    </row>
    <row r="45">
      <c r="A45" s="166">
        <f>IFERROR(__xludf.DUMMYFUNCTION("""COMPUTED_VALUE"""),27.0)</f>
        <v>27</v>
      </c>
      <c r="B45" s="167">
        <f>IFERROR(__xludf.DUMMYFUNCTION("""COMPUTED_VALUE"""),10403.0)</f>
        <v>10403</v>
      </c>
      <c r="C45" s="83" t="str">
        <f>IFERROR(__xludf.DUMMYFUNCTION("""COMPUTED_VALUE"""),"Vũ Ngọc Tân")</f>
        <v>Vũ Ngọc Tân</v>
      </c>
      <c r="D45" s="83" t="str">
        <f>IFERROR(__xludf.DUMMYFUNCTION("""COMPUTED_VALUE"""),"NV")</f>
        <v>NV</v>
      </c>
      <c r="E45" s="168">
        <f t="shared" si="1"/>
        <v>2</v>
      </c>
      <c r="F45" s="168">
        <f t="shared" si="2"/>
        <v>0</v>
      </c>
      <c r="G45" s="168">
        <f t="shared" si="3"/>
        <v>2</v>
      </c>
      <c r="H45" s="169"/>
      <c r="I45" s="169"/>
      <c r="J45" s="173"/>
      <c r="K45" s="169">
        <v>0.0</v>
      </c>
      <c r="L45" s="169">
        <f>VLOOKUP(B45,'Công T5'!$B$8:$AO$89,40,0)</f>
        <v>0</v>
      </c>
      <c r="M45" s="173"/>
      <c r="N45" s="173"/>
      <c r="O45" s="173"/>
      <c r="P45" s="173"/>
      <c r="Q45" s="173"/>
      <c r="R45" s="173"/>
      <c r="S45" s="173"/>
      <c r="T45" s="182" t="s">
        <v>301</v>
      </c>
      <c r="U45" s="171">
        <f t="shared" si="4"/>
        <v>0</v>
      </c>
      <c r="V45" s="171"/>
      <c r="W45" s="171"/>
      <c r="X45" s="172"/>
      <c r="Y45" s="172"/>
      <c r="Z45" s="172">
        <v>1.0</v>
      </c>
      <c r="AA45" s="172">
        <v>1.0</v>
      </c>
      <c r="AB45" s="171"/>
      <c r="AC45" s="171"/>
      <c r="AD45" s="171"/>
      <c r="AE45" s="171"/>
      <c r="AF45" s="171"/>
      <c r="AG45" s="171"/>
    </row>
    <row r="46">
      <c r="A46" s="166">
        <f>IFERROR(__xludf.DUMMYFUNCTION("""COMPUTED_VALUE"""),28.0)</f>
        <v>28</v>
      </c>
      <c r="B46" s="167">
        <f>IFERROR(__xludf.DUMMYFUNCTION("""COMPUTED_VALUE"""),10189.0)</f>
        <v>10189</v>
      </c>
      <c r="C46" s="83" t="str">
        <f>IFERROR(__xludf.DUMMYFUNCTION("""COMPUTED_VALUE"""),"Lê Thị Hiền")</f>
        <v>Lê Thị Hiền</v>
      </c>
      <c r="D46" s="83" t="str">
        <f>IFERROR(__xludf.DUMMYFUNCTION("""COMPUTED_VALUE"""),"NV")</f>
        <v>NV</v>
      </c>
      <c r="E46" s="168">
        <f t="shared" si="1"/>
        <v>3</v>
      </c>
      <c r="F46" s="168">
        <f t="shared" si="2"/>
        <v>0</v>
      </c>
      <c r="G46" s="168">
        <f t="shared" si="3"/>
        <v>3</v>
      </c>
      <c r="H46" s="169"/>
      <c r="I46" s="169"/>
      <c r="J46" s="173"/>
      <c r="K46" s="169">
        <v>0.0</v>
      </c>
      <c r="L46" s="169">
        <f>VLOOKUP(B46,'Công T5'!$B$8:$AO$89,40,0)</f>
        <v>0</v>
      </c>
      <c r="M46" s="173"/>
      <c r="N46" s="173"/>
      <c r="O46" s="173"/>
      <c r="P46" s="173"/>
      <c r="Q46" s="173"/>
      <c r="R46" s="173"/>
      <c r="S46" s="173"/>
      <c r="T46" s="170">
        <v>43253.0</v>
      </c>
      <c r="U46" s="171">
        <f t="shared" si="4"/>
        <v>1</v>
      </c>
      <c r="V46" s="171"/>
      <c r="W46" s="171"/>
      <c r="X46" s="172"/>
      <c r="Y46" s="172"/>
      <c r="Z46" s="172">
        <v>1.0</v>
      </c>
      <c r="AA46" s="172">
        <v>1.0</v>
      </c>
      <c r="AB46" s="171"/>
      <c r="AC46" s="171"/>
      <c r="AD46" s="171"/>
      <c r="AE46" s="171"/>
      <c r="AF46" s="171"/>
      <c r="AG46" s="171"/>
    </row>
    <row r="47">
      <c r="A47" s="166">
        <f>IFERROR(__xludf.DUMMYFUNCTION("""COMPUTED_VALUE"""),29.0)</f>
        <v>29</v>
      </c>
      <c r="B47" s="167">
        <f>IFERROR(__xludf.DUMMYFUNCTION("""COMPUTED_VALUE"""),10409.0)</f>
        <v>10409</v>
      </c>
      <c r="C47" s="83" t="str">
        <f>IFERROR(__xludf.DUMMYFUNCTION("""COMPUTED_VALUE"""),"Lưu Đức Hạnh")</f>
        <v>Lưu Đức Hạnh</v>
      </c>
      <c r="D47" s="83" t="str">
        <f>IFERROR(__xludf.DUMMYFUNCTION("""COMPUTED_VALUE"""),"NV")</f>
        <v>NV</v>
      </c>
      <c r="E47" s="168">
        <f t="shared" si="1"/>
        <v>2</v>
      </c>
      <c r="F47" s="168">
        <f t="shared" si="2"/>
        <v>0</v>
      </c>
      <c r="G47" s="168">
        <f t="shared" si="3"/>
        <v>2</v>
      </c>
      <c r="H47" s="169"/>
      <c r="I47" s="169"/>
      <c r="J47" s="173"/>
      <c r="K47" s="169"/>
      <c r="L47" s="169">
        <f>VLOOKUP(B47,'Công T5'!$B$8:$AO$89,40,0)</f>
        <v>0</v>
      </c>
      <c r="M47" s="173"/>
      <c r="N47" s="173"/>
      <c r="O47" s="173"/>
      <c r="P47" s="173"/>
      <c r="Q47" s="173"/>
      <c r="R47" s="173"/>
      <c r="S47" s="173"/>
      <c r="T47" s="182" t="s">
        <v>301</v>
      </c>
      <c r="U47" s="171">
        <f t="shared" si="4"/>
        <v>0</v>
      </c>
      <c r="V47" s="171"/>
      <c r="W47" s="171"/>
      <c r="X47" s="172"/>
      <c r="Y47" s="172"/>
      <c r="Z47" s="172">
        <v>1.0</v>
      </c>
      <c r="AA47" s="172">
        <v>1.0</v>
      </c>
      <c r="AB47" s="171"/>
      <c r="AC47" s="171"/>
      <c r="AD47" s="171"/>
      <c r="AE47" s="171"/>
      <c r="AF47" s="171"/>
      <c r="AG47" s="171"/>
    </row>
    <row r="48" hidden="1">
      <c r="A48" s="166"/>
      <c r="B48" s="167"/>
      <c r="C48" s="83"/>
      <c r="D48" s="83"/>
      <c r="E48" s="168">
        <f t="shared" si="1"/>
        <v>3</v>
      </c>
      <c r="F48" s="168" t="str">
        <f t="shared" si="2"/>
        <v>#N/A</v>
      </c>
      <c r="G48" s="168" t="str">
        <f t="shared" si="3"/>
        <v>#N/A</v>
      </c>
      <c r="H48" s="169"/>
      <c r="I48" s="169"/>
      <c r="J48" s="173"/>
      <c r="K48" s="169"/>
      <c r="L48" s="169" t="str">
        <f>VLOOKUP(B48,'Công T5'!$B$8:$AO$89,40,0)</f>
        <v>#N/A</v>
      </c>
      <c r="M48" s="173"/>
      <c r="N48" s="173"/>
      <c r="O48" s="173"/>
      <c r="P48" s="173"/>
      <c r="Q48" s="173"/>
      <c r="R48" s="173"/>
      <c r="S48" s="173"/>
      <c r="T48" s="170" t="e">
        <v>#N/A</v>
      </c>
      <c r="U48" s="171">
        <f t="shared" si="4"/>
        <v>0</v>
      </c>
      <c r="V48" s="171"/>
      <c r="W48" s="171"/>
      <c r="X48" s="172">
        <v>1.0</v>
      </c>
      <c r="Y48" s="172">
        <v>1.0</v>
      </c>
      <c r="Z48" s="172">
        <v>1.0</v>
      </c>
      <c r="AA48" s="171"/>
      <c r="AB48" s="171"/>
      <c r="AC48" s="171"/>
      <c r="AD48" s="171"/>
      <c r="AE48" s="171"/>
      <c r="AF48" s="171"/>
      <c r="AG48" s="171"/>
    </row>
    <row r="49" hidden="1">
      <c r="A49" s="166"/>
      <c r="B49" s="167"/>
      <c r="C49" s="83"/>
      <c r="D49" s="83"/>
      <c r="E49" s="168">
        <f t="shared" si="1"/>
        <v>3</v>
      </c>
      <c r="F49" s="168" t="str">
        <f t="shared" si="2"/>
        <v>#N/A</v>
      </c>
      <c r="G49" s="168" t="str">
        <f t="shared" si="3"/>
        <v>#N/A</v>
      </c>
      <c r="H49" s="169"/>
      <c r="I49" s="169"/>
      <c r="J49" s="173"/>
      <c r="K49" s="169"/>
      <c r="L49" s="169" t="str">
        <f>VLOOKUP(B49,'Công T5'!$B$8:$AO$89,40,0)</f>
        <v>#N/A</v>
      </c>
      <c r="M49" s="173"/>
      <c r="N49" s="173"/>
      <c r="O49" s="173"/>
      <c r="P49" s="173"/>
      <c r="Q49" s="173"/>
      <c r="R49" s="173"/>
      <c r="S49" s="173"/>
      <c r="T49" s="170" t="e">
        <v>#N/A</v>
      </c>
      <c r="U49" s="171">
        <f t="shared" si="4"/>
        <v>0</v>
      </c>
      <c r="V49" s="171"/>
      <c r="W49" s="171"/>
      <c r="X49" s="172">
        <v>1.0</v>
      </c>
      <c r="Y49" s="172">
        <v>1.0</v>
      </c>
      <c r="Z49" s="172">
        <v>1.0</v>
      </c>
      <c r="AA49" s="171"/>
      <c r="AB49" s="171"/>
      <c r="AC49" s="171"/>
      <c r="AD49" s="171"/>
      <c r="AE49" s="171"/>
      <c r="AF49" s="171"/>
      <c r="AG49" s="171"/>
    </row>
    <row r="50" hidden="1">
      <c r="A50" s="166"/>
      <c r="B50" s="167"/>
      <c r="C50" s="83"/>
      <c r="D50" s="83"/>
      <c r="E50" s="168">
        <f t="shared" si="1"/>
        <v>3</v>
      </c>
      <c r="F50" s="168" t="str">
        <f t="shared" si="2"/>
        <v>#N/A</v>
      </c>
      <c r="G50" s="168" t="str">
        <f t="shared" si="3"/>
        <v>#N/A</v>
      </c>
      <c r="H50" s="169"/>
      <c r="I50" s="169"/>
      <c r="J50" s="173"/>
      <c r="K50" s="169"/>
      <c r="L50" s="169" t="str">
        <f>VLOOKUP(B50,'Công T5'!$B$8:$AO$89,40,0)</f>
        <v>#N/A</v>
      </c>
      <c r="M50" s="173"/>
      <c r="N50" s="173"/>
      <c r="O50" s="173"/>
      <c r="P50" s="173"/>
      <c r="Q50" s="173"/>
      <c r="R50" s="173"/>
      <c r="S50" s="173"/>
      <c r="T50" s="170" t="e">
        <v>#N/A</v>
      </c>
      <c r="U50" s="171">
        <f t="shared" si="4"/>
        <v>0</v>
      </c>
      <c r="V50" s="171"/>
      <c r="W50" s="171"/>
      <c r="X50" s="172">
        <v>1.0</v>
      </c>
      <c r="Y50" s="172">
        <v>1.0</v>
      </c>
      <c r="Z50" s="172">
        <v>1.0</v>
      </c>
      <c r="AA50" s="171"/>
      <c r="AB50" s="171"/>
      <c r="AC50" s="171"/>
      <c r="AD50" s="171"/>
      <c r="AE50" s="171"/>
      <c r="AF50" s="171"/>
      <c r="AG50" s="171"/>
    </row>
    <row r="51" hidden="1">
      <c r="A51" s="166"/>
      <c r="B51" s="167"/>
      <c r="C51" s="83"/>
      <c r="D51" s="83"/>
      <c r="E51" s="168">
        <f t="shared" si="1"/>
        <v>3</v>
      </c>
      <c r="F51" s="168" t="str">
        <f t="shared" si="2"/>
        <v>#N/A</v>
      </c>
      <c r="G51" s="168" t="str">
        <f t="shared" si="3"/>
        <v>#N/A</v>
      </c>
      <c r="H51" s="169"/>
      <c r="I51" s="169"/>
      <c r="J51" s="173"/>
      <c r="K51" s="169"/>
      <c r="L51" s="169" t="str">
        <f>VLOOKUP(B51,'Công T5'!$B$8:$AO$89,40,0)</f>
        <v>#N/A</v>
      </c>
      <c r="M51" s="173"/>
      <c r="N51" s="173"/>
      <c r="O51" s="173"/>
      <c r="P51" s="173"/>
      <c r="Q51" s="173"/>
      <c r="R51" s="173"/>
      <c r="S51" s="173"/>
      <c r="T51" s="170" t="e">
        <v>#N/A</v>
      </c>
      <c r="U51" s="171">
        <f t="shared" si="4"/>
        <v>0</v>
      </c>
      <c r="V51" s="171"/>
      <c r="W51" s="171"/>
      <c r="X51" s="172">
        <v>1.0</v>
      </c>
      <c r="Y51" s="172">
        <v>1.0</v>
      </c>
      <c r="Z51" s="172">
        <v>1.0</v>
      </c>
      <c r="AA51" s="171"/>
      <c r="AB51" s="171"/>
      <c r="AC51" s="171"/>
      <c r="AD51" s="171"/>
      <c r="AE51" s="171"/>
      <c r="AF51" s="171"/>
      <c r="AG51" s="171"/>
    </row>
    <row r="52" hidden="1">
      <c r="A52" s="166"/>
      <c r="B52" s="167"/>
      <c r="C52" s="83"/>
      <c r="D52" s="83"/>
      <c r="E52" s="168">
        <f t="shared" si="1"/>
        <v>3</v>
      </c>
      <c r="F52" s="168" t="str">
        <f t="shared" si="2"/>
        <v>#N/A</v>
      </c>
      <c r="G52" s="168" t="str">
        <f t="shared" si="3"/>
        <v>#N/A</v>
      </c>
      <c r="H52" s="169"/>
      <c r="I52" s="169"/>
      <c r="J52" s="173"/>
      <c r="K52" s="169"/>
      <c r="L52" s="169" t="str">
        <f>VLOOKUP(B52,'Công T5'!$B$8:$AO$89,40,0)</f>
        <v>#N/A</v>
      </c>
      <c r="M52" s="173"/>
      <c r="N52" s="173"/>
      <c r="O52" s="173"/>
      <c r="P52" s="173"/>
      <c r="Q52" s="173"/>
      <c r="R52" s="173"/>
      <c r="S52" s="173"/>
      <c r="T52" s="170" t="e">
        <v>#N/A</v>
      </c>
      <c r="U52" s="171">
        <f t="shared" si="4"/>
        <v>0</v>
      </c>
      <c r="V52" s="171"/>
      <c r="W52" s="171"/>
      <c r="X52" s="172">
        <v>1.0</v>
      </c>
      <c r="Y52" s="172">
        <v>1.0</v>
      </c>
      <c r="Z52" s="172">
        <v>1.0</v>
      </c>
      <c r="AA52" s="171"/>
      <c r="AB52" s="171"/>
      <c r="AC52" s="171"/>
      <c r="AD52" s="171"/>
      <c r="AE52" s="171"/>
      <c r="AF52" s="171"/>
      <c r="AG52" s="171"/>
    </row>
    <row r="53">
      <c r="A53" s="166">
        <f>IFERROR(__xludf.DUMMYFUNCTION("""COMPUTED_VALUE"""),30.0)</f>
        <v>30</v>
      </c>
      <c r="B53" s="167">
        <f>IFERROR(__xludf.DUMMYFUNCTION("""COMPUTED_VALUE"""),10009.0)</f>
        <v>10009</v>
      </c>
      <c r="C53" s="83" t="str">
        <f>IFERROR(__xludf.DUMMYFUNCTION("""COMPUTED_VALUE"""),"Hoàng Thị Thanh Tuyền")</f>
        <v>Hoàng Thị Thanh Tuyền</v>
      </c>
      <c r="D53" s="83" t="str">
        <f>IFERROR(__xludf.DUMMYFUNCTION("""COMPUTED_VALUE"""),"TV")</f>
        <v>TV</v>
      </c>
      <c r="E53" s="168">
        <f t="shared" si="1"/>
        <v>5</v>
      </c>
      <c r="F53" s="168">
        <f t="shared" si="2"/>
        <v>1</v>
      </c>
      <c r="G53" s="168">
        <f t="shared" si="3"/>
        <v>4</v>
      </c>
      <c r="H53" s="169"/>
      <c r="I53" s="169"/>
      <c r="J53" s="173"/>
      <c r="K53" s="169">
        <v>1.0</v>
      </c>
      <c r="L53" s="169">
        <f>VLOOKUP(B53,'Công T5'!$B$8:$AO$89,40,0)</f>
        <v>0</v>
      </c>
      <c r="M53" s="173"/>
      <c r="N53" s="173"/>
      <c r="O53" s="173"/>
      <c r="P53" s="173"/>
      <c r="Q53" s="173"/>
      <c r="R53" s="173"/>
      <c r="S53" s="173"/>
      <c r="T53" s="170">
        <v>41821.0</v>
      </c>
      <c r="U53" s="171">
        <f t="shared" si="4"/>
        <v>1</v>
      </c>
      <c r="V53" s="171"/>
      <c r="W53" s="171"/>
      <c r="X53" s="172">
        <v>1.0</v>
      </c>
      <c r="Y53" s="172">
        <v>1.0</v>
      </c>
      <c r="Z53" s="172">
        <v>1.0</v>
      </c>
      <c r="AA53" s="172">
        <v>1.0</v>
      </c>
      <c r="AB53" s="171"/>
      <c r="AC53" s="171"/>
      <c r="AD53" s="171"/>
      <c r="AE53" s="171"/>
      <c r="AF53" s="171"/>
      <c r="AG53" s="171"/>
    </row>
    <row r="54">
      <c r="A54" s="174">
        <f>IFERROR(__xludf.DUMMYFUNCTION("""COMPUTED_VALUE"""),31.0)</f>
        <v>31</v>
      </c>
      <c r="B54" s="175">
        <f>IFERROR(__xludf.DUMMYFUNCTION("""COMPUTED_VALUE"""),10328.0)</f>
        <v>10328</v>
      </c>
      <c r="C54" s="176" t="str">
        <f>IFERROR(__xludf.DUMMYFUNCTION("""COMPUTED_VALUE"""),"Trương Thanh Tùng")</f>
        <v>Trương Thanh Tùng</v>
      </c>
      <c r="D54" s="176" t="str">
        <f>IFERROR(__xludf.DUMMYFUNCTION("""COMPUTED_VALUE"""),"TV")</f>
        <v>TV</v>
      </c>
      <c r="E54" s="177">
        <f t="shared" si="1"/>
        <v>0</v>
      </c>
      <c r="F54" s="177">
        <f t="shared" si="2"/>
        <v>0</v>
      </c>
      <c r="G54" s="177">
        <f t="shared" si="3"/>
        <v>0</v>
      </c>
      <c r="H54" s="177"/>
      <c r="I54" s="177"/>
      <c r="J54" s="178"/>
      <c r="K54" s="177">
        <v>0.0</v>
      </c>
      <c r="L54" s="177">
        <f>VLOOKUP(B54,'Công T5'!$B$8:$AO$89,40,0)</f>
        <v>0</v>
      </c>
      <c r="M54" s="178"/>
      <c r="N54" s="178"/>
      <c r="O54" s="178"/>
      <c r="P54" s="178"/>
      <c r="Q54" s="178"/>
      <c r="R54" s="178"/>
      <c r="S54" s="178"/>
      <c r="T54" s="179">
        <v>43778.0</v>
      </c>
      <c r="U54" s="171">
        <f t="shared" si="4"/>
        <v>0</v>
      </c>
      <c r="V54" s="180"/>
      <c r="W54" s="180"/>
      <c r="X54" s="181"/>
      <c r="Y54" s="181"/>
      <c r="Z54" s="180"/>
      <c r="AA54" s="181"/>
      <c r="AB54" s="180"/>
      <c r="AC54" s="180"/>
      <c r="AD54" s="180"/>
      <c r="AE54" s="180"/>
      <c r="AF54" s="180"/>
      <c r="AG54" s="180"/>
    </row>
    <row r="55">
      <c r="A55" s="166">
        <f>IFERROR(__xludf.DUMMYFUNCTION("""COMPUTED_VALUE"""),32.0)</f>
        <v>32</v>
      </c>
      <c r="B55" s="167">
        <f>IFERROR(__xludf.DUMMYFUNCTION("""COMPUTED_VALUE"""),10025.0)</f>
        <v>10025</v>
      </c>
      <c r="C55" s="83" t="str">
        <f>IFERROR(__xludf.DUMMYFUNCTION("""COMPUTED_VALUE"""),"Nguyễn Thị Hồng")</f>
        <v>Nguyễn Thị Hồng</v>
      </c>
      <c r="D55" s="83" t="str">
        <f>IFERROR(__xludf.DUMMYFUNCTION("""COMPUTED_VALUE"""),"TV")</f>
        <v>TV</v>
      </c>
      <c r="E55" s="168">
        <f t="shared" si="1"/>
        <v>5</v>
      </c>
      <c r="F55" s="168">
        <f t="shared" si="2"/>
        <v>1</v>
      </c>
      <c r="G55" s="168">
        <f t="shared" si="3"/>
        <v>4</v>
      </c>
      <c r="H55" s="169"/>
      <c r="I55" s="169"/>
      <c r="J55" s="173"/>
      <c r="K55" s="169">
        <v>1.0</v>
      </c>
      <c r="L55" s="169">
        <f>VLOOKUP(B55,'Công T5'!$B$8:$AO$89,40,0)</f>
        <v>0</v>
      </c>
      <c r="M55" s="173"/>
      <c r="N55" s="173"/>
      <c r="O55" s="173"/>
      <c r="P55" s="173"/>
      <c r="Q55" s="173"/>
      <c r="R55" s="173"/>
      <c r="S55" s="173"/>
      <c r="T55" s="170">
        <v>42278.0</v>
      </c>
      <c r="U55" s="171">
        <f t="shared" si="4"/>
        <v>1</v>
      </c>
      <c r="V55" s="171"/>
      <c r="W55" s="171"/>
      <c r="X55" s="172">
        <v>1.0</v>
      </c>
      <c r="Y55" s="172">
        <v>1.0</v>
      </c>
      <c r="Z55" s="172">
        <v>1.0</v>
      </c>
      <c r="AA55" s="172">
        <v>1.0</v>
      </c>
      <c r="AB55" s="171"/>
      <c r="AC55" s="171"/>
      <c r="AD55" s="171"/>
      <c r="AE55" s="171"/>
      <c r="AF55" s="171"/>
      <c r="AG55" s="171"/>
    </row>
    <row r="56" hidden="1">
      <c r="A56" s="166"/>
      <c r="B56" s="167"/>
      <c r="C56" s="83"/>
      <c r="D56" s="83"/>
      <c r="E56" s="168">
        <f t="shared" si="1"/>
        <v>3</v>
      </c>
      <c r="F56" s="168" t="str">
        <f t="shared" si="2"/>
        <v>#N/A</v>
      </c>
      <c r="G56" s="168" t="str">
        <f t="shared" si="3"/>
        <v>#N/A</v>
      </c>
      <c r="H56" s="169"/>
      <c r="I56" s="169"/>
      <c r="J56" s="173"/>
      <c r="K56" s="169"/>
      <c r="L56" s="169" t="str">
        <f>VLOOKUP(B56,'Công T5'!$B$8:$AO$89,40,0)</f>
        <v>#N/A</v>
      </c>
      <c r="M56" s="173"/>
      <c r="N56" s="173"/>
      <c r="O56" s="173"/>
      <c r="P56" s="173"/>
      <c r="Q56" s="173"/>
      <c r="R56" s="173"/>
      <c r="S56" s="173"/>
      <c r="T56" s="170" t="e">
        <v>#N/A</v>
      </c>
      <c r="U56" s="171">
        <f t="shared" si="4"/>
        <v>0</v>
      </c>
      <c r="V56" s="171"/>
      <c r="W56" s="171"/>
      <c r="X56" s="172">
        <v>1.0</v>
      </c>
      <c r="Y56" s="172">
        <v>1.0</v>
      </c>
      <c r="Z56" s="172">
        <v>1.0</v>
      </c>
      <c r="AA56" s="171"/>
      <c r="AB56" s="171"/>
      <c r="AC56" s="171"/>
      <c r="AD56" s="171"/>
      <c r="AE56" s="171"/>
      <c r="AF56" s="171"/>
      <c r="AG56" s="171"/>
    </row>
    <row r="57" hidden="1">
      <c r="A57" s="166"/>
      <c r="B57" s="167"/>
      <c r="C57" s="83"/>
      <c r="D57" s="83"/>
      <c r="E57" s="168">
        <f t="shared" si="1"/>
        <v>3</v>
      </c>
      <c r="F57" s="168" t="str">
        <f t="shared" si="2"/>
        <v>#N/A</v>
      </c>
      <c r="G57" s="168" t="str">
        <f t="shared" si="3"/>
        <v>#N/A</v>
      </c>
      <c r="H57" s="169"/>
      <c r="I57" s="169"/>
      <c r="J57" s="173"/>
      <c r="K57" s="169"/>
      <c r="L57" s="169" t="str">
        <f>VLOOKUP(B57,'Công T5'!$B$8:$AO$89,40,0)</f>
        <v>#N/A</v>
      </c>
      <c r="M57" s="173"/>
      <c r="N57" s="173"/>
      <c r="O57" s="173"/>
      <c r="P57" s="173"/>
      <c r="Q57" s="173"/>
      <c r="R57" s="173"/>
      <c r="S57" s="173"/>
      <c r="T57" s="170" t="e">
        <v>#N/A</v>
      </c>
      <c r="U57" s="171">
        <f t="shared" si="4"/>
        <v>0</v>
      </c>
      <c r="V57" s="171"/>
      <c r="W57" s="171"/>
      <c r="X57" s="172">
        <v>1.0</v>
      </c>
      <c r="Y57" s="172">
        <v>1.0</v>
      </c>
      <c r="Z57" s="172">
        <v>1.0</v>
      </c>
      <c r="AA57" s="171"/>
      <c r="AB57" s="171"/>
      <c r="AC57" s="171"/>
      <c r="AD57" s="171"/>
      <c r="AE57" s="171"/>
      <c r="AF57" s="171"/>
      <c r="AG57" s="171"/>
    </row>
    <row r="58" hidden="1">
      <c r="A58" s="166"/>
      <c r="B58" s="167"/>
      <c r="C58" s="83"/>
      <c r="D58" s="83"/>
      <c r="E58" s="168">
        <f t="shared" si="1"/>
        <v>3</v>
      </c>
      <c r="F58" s="168" t="str">
        <f t="shared" si="2"/>
        <v>#N/A</v>
      </c>
      <c r="G58" s="168" t="str">
        <f t="shared" si="3"/>
        <v>#N/A</v>
      </c>
      <c r="H58" s="169"/>
      <c r="I58" s="169"/>
      <c r="J58" s="173"/>
      <c r="K58" s="169"/>
      <c r="L58" s="169" t="str">
        <f>VLOOKUP(B58,'Công T5'!$B$8:$AO$89,40,0)</f>
        <v>#N/A</v>
      </c>
      <c r="M58" s="173"/>
      <c r="N58" s="173"/>
      <c r="O58" s="173"/>
      <c r="P58" s="173"/>
      <c r="Q58" s="173"/>
      <c r="R58" s="173"/>
      <c r="S58" s="173"/>
      <c r="T58" s="170" t="e">
        <v>#N/A</v>
      </c>
      <c r="U58" s="171">
        <f t="shared" si="4"/>
        <v>0</v>
      </c>
      <c r="V58" s="171"/>
      <c r="W58" s="171"/>
      <c r="X58" s="172">
        <v>1.0</v>
      </c>
      <c r="Y58" s="172">
        <v>1.0</v>
      </c>
      <c r="Z58" s="172">
        <v>1.0</v>
      </c>
      <c r="AA58" s="171"/>
      <c r="AB58" s="171"/>
      <c r="AC58" s="171"/>
      <c r="AD58" s="171"/>
      <c r="AE58" s="171"/>
      <c r="AF58" s="171"/>
      <c r="AG58" s="171"/>
    </row>
    <row r="59" hidden="1">
      <c r="A59" s="166">
        <f>IFERROR(__xludf.DUMMYFUNCTION("""COMPUTED_VALUE"""),35.0)</f>
        <v>35</v>
      </c>
      <c r="B59" s="167"/>
      <c r="C59" s="83"/>
      <c r="D59" s="83"/>
      <c r="E59" s="168">
        <f t="shared" si="1"/>
        <v>3</v>
      </c>
      <c r="F59" s="168" t="str">
        <f t="shared" si="2"/>
        <v>#N/A</v>
      </c>
      <c r="G59" s="168" t="str">
        <f t="shared" si="3"/>
        <v>#N/A</v>
      </c>
      <c r="H59" s="169"/>
      <c r="I59" s="169"/>
      <c r="J59" s="173"/>
      <c r="K59" s="169"/>
      <c r="L59" s="169" t="str">
        <f>VLOOKUP(B59,'Công T5'!$B$8:$AO$89,40,0)</f>
        <v>#N/A</v>
      </c>
      <c r="M59" s="173"/>
      <c r="N59" s="173"/>
      <c r="O59" s="173"/>
      <c r="P59" s="173"/>
      <c r="Q59" s="173"/>
      <c r="R59" s="173"/>
      <c r="S59" s="173"/>
      <c r="T59" s="170" t="e">
        <v>#N/A</v>
      </c>
      <c r="U59" s="171">
        <f t="shared" si="4"/>
        <v>0</v>
      </c>
      <c r="V59" s="171"/>
      <c r="W59" s="171"/>
      <c r="X59" s="172">
        <v>1.0</v>
      </c>
      <c r="Y59" s="172">
        <v>1.0</v>
      </c>
      <c r="Z59" s="172">
        <v>1.0</v>
      </c>
      <c r="AA59" s="171"/>
      <c r="AB59" s="171"/>
      <c r="AC59" s="171"/>
      <c r="AD59" s="171"/>
      <c r="AE59" s="171"/>
      <c r="AF59" s="171"/>
      <c r="AG59" s="171"/>
    </row>
    <row r="60">
      <c r="A60" s="166">
        <f>IFERROR(__xludf.DUMMYFUNCTION("""COMPUTED_VALUE"""),33.0)</f>
        <v>33</v>
      </c>
      <c r="B60" s="167">
        <f>IFERROR(__xludf.DUMMYFUNCTION("""COMPUTED_VALUE"""),10261.0)</f>
        <v>10261</v>
      </c>
      <c r="C60" s="83" t="str">
        <f>IFERROR(__xludf.DUMMYFUNCTION("""COMPUTED_VALUE"""),"Khương Viết Việt")</f>
        <v>Khương Viết Việt</v>
      </c>
      <c r="D60" s="83" t="str">
        <f>IFERROR(__xludf.DUMMYFUNCTION("""COMPUTED_VALUE"""),"KNL")</f>
        <v>KNL</v>
      </c>
      <c r="E60" s="168">
        <f t="shared" si="1"/>
        <v>5</v>
      </c>
      <c r="F60" s="168">
        <f t="shared" si="2"/>
        <v>1</v>
      </c>
      <c r="G60" s="168">
        <f t="shared" si="3"/>
        <v>4</v>
      </c>
      <c r="H60" s="169"/>
      <c r="I60" s="169"/>
      <c r="J60" s="173"/>
      <c r="K60" s="169">
        <v>1.0</v>
      </c>
      <c r="L60" s="169">
        <f>VLOOKUP(B60,'Công T5'!$B$8:$AO$89,40,0)</f>
        <v>0</v>
      </c>
      <c r="M60" s="173"/>
      <c r="N60" s="173"/>
      <c r="O60" s="173"/>
      <c r="P60" s="173"/>
      <c r="Q60" s="173"/>
      <c r="R60" s="173"/>
      <c r="S60" s="173"/>
      <c r="T60" s="170">
        <v>43525.0</v>
      </c>
      <c r="U60" s="171">
        <f t="shared" si="4"/>
        <v>1</v>
      </c>
      <c r="V60" s="171"/>
      <c r="W60" s="171"/>
      <c r="X60" s="172">
        <v>1.0</v>
      </c>
      <c r="Y60" s="172">
        <v>1.0</v>
      </c>
      <c r="Z60" s="172">
        <v>1.0</v>
      </c>
      <c r="AA60" s="172">
        <v>1.0</v>
      </c>
      <c r="AB60" s="171"/>
      <c r="AC60" s="171"/>
      <c r="AD60" s="171"/>
      <c r="AE60" s="171"/>
      <c r="AF60" s="171"/>
      <c r="AG60" s="171"/>
    </row>
    <row r="61">
      <c r="A61" s="166">
        <f>IFERROR(__xludf.DUMMYFUNCTION("""COMPUTED_VALUE"""),34.0)</f>
        <v>34</v>
      </c>
      <c r="B61" s="167">
        <f>IFERROR(__xludf.DUMMYFUNCTION("""COMPUTED_VALUE"""),10218.0)</f>
        <v>10218</v>
      </c>
      <c r="C61" s="83" t="str">
        <f>IFERROR(__xludf.DUMMYFUNCTION("""COMPUTED_VALUE"""),"Đào Văn Cường")</f>
        <v>Đào Văn Cường</v>
      </c>
      <c r="D61" s="83" t="str">
        <f>IFERROR(__xludf.DUMMYFUNCTION("""COMPUTED_VALUE"""),"NL")</f>
        <v>NL</v>
      </c>
      <c r="E61" s="168">
        <f t="shared" si="1"/>
        <v>0</v>
      </c>
      <c r="F61" s="168">
        <f t="shared" si="2"/>
        <v>0</v>
      </c>
      <c r="G61" s="168">
        <f t="shared" si="3"/>
        <v>0</v>
      </c>
      <c r="H61" s="169"/>
      <c r="I61" s="169"/>
      <c r="J61" s="173"/>
      <c r="K61" s="169">
        <v>0.0</v>
      </c>
      <c r="L61" s="169">
        <f>VLOOKUP(B61,'Công T5'!$B$8:$AO$89,40,0)</f>
        <v>0</v>
      </c>
      <c r="M61" s="173"/>
      <c r="N61" s="173"/>
      <c r="O61" s="173"/>
      <c r="P61" s="173"/>
      <c r="Q61" s="173"/>
      <c r="R61" s="173"/>
      <c r="S61" s="173"/>
      <c r="T61" s="170">
        <v>43767.0</v>
      </c>
      <c r="U61" s="171">
        <f t="shared" si="4"/>
        <v>0</v>
      </c>
      <c r="V61" s="171"/>
      <c r="W61" s="171"/>
      <c r="X61" s="172"/>
      <c r="Y61" s="172"/>
      <c r="Z61" s="172"/>
      <c r="AA61" s="172"/>
      <c r="AB61" s="171"/>
      <c r="AC61" s="171"/>
      <c r="AD61" s="171"/>
      <c r="AE61" s="171"/>
      <c r="AF61" s="171"/>
      <c r="AG61" s="171"/>
    </row>
    <row r="62">
      <c r="A62" s="166">
        <f>IFERROR(__xludf.DUMMYFUNCTION("""COMPUTED_VALUE"""),35.0)</f>
        <v>35</v>
      </c>
      <c r="B62" s="167">
        <f>IFERROR(__xludf.DUMMYFUNCTION("""COMPUTED_VALUE"""),10181.0)</f>
        <v>10181</v>
      </c>
      <c r="C62" s="83" t="str">
        <f>IFERROR(__xludf.DUMMYFUNCTION("""COMPUTED_VALUE"""),"Chu Thị Thu Hiền")</f>
        <v>Chu Thị Thu Hiền</v>
      </c>
      <c r="D62" s="83" t="str">
        <f>IFERROR(__xludf.DUMMYFUNCTION("""COMPUTED_VALUE"""),"NL")</f>
        <v>NL</v>
      </c>
      <c r="E62" s="168">
        <f t="shared" si="1"/>
        <v>1</v>
      </c>
      <c r="F62" s="168">
        <f t="shared" si="2"/>
        <v>0</v>
      </c>
      <c r="G62" s="168">
        <f t="shared" si="3"/>
        <v>1</v>
      </c>
      <c r="H62" s="169"/>
      <c r="I62" s="169"/>
      <c r="J62" s="173"/>
      <c r="K62" s="169">
        <v>0.0</v>
      </c>
      <c r="L62" s="169">
        <f>VLOOKUP(B62,'Công T5'!$B$8:$AO$89,40,0)</f>
        <v>0</v>
      </c>
      <c r="M62" s="173"/>
      <c r="N62" s="173"/>
      <c r="O62" s="173"/>
      <c r="P62" s="173"/>
      <c r="Q62" s="173"/>
      <c r="R62" s="173"/>
      <c r="S62" s="173"/>
      <c r="T62" s="170">
        <v>43313.0</v>
      </c>
      <c r="U62" s="171">
        <f t="shared" si="4"/>
        <v>1</v>
      </c>
      <c r="V62" s="171"/>
      <c r="W62" s="171"/>
      <c r="X62" s="172"/>
      <c r="Y62" s="172"/>
      <c r="Z62" s="172"/>
      <c r="AA62" s="172"/>
      <c r="AB62" s="171"/>
      <c r="AC62" s="171"/>
      <c r="AD62" s="171"/>
      <c r="AE62" s="171"/>
      <c r="AF62" s="171"/>
      <c r="AG62" s="171"/>
    </row>
    <row r="63">
      <c r="A63" s="166">
        <f>IFERROR(__xludf.DUMMYFUNCTION("""COMPUTED_VALUE"""),36.0)</f>
        <v>36</v>
      </c>
      <c r="B63" s="167">
        <f>IFERROR(__xludf.DUMMYFUNCTION("""COMPUTED_VALUE"""),10391.0)</f>
        <v>10391</v>
      </c>
      <c r="C63" s="83" t="str">
        <f>IFERROR(__xludf.DUMMYFUNCTION("""COMPUTED_VALUE"""),"Chu Vinh Dũng")</f>
        <v>Chu Vinh Dũng</v>
      </c>
      <c r="D63" s="83" t="str">
        <f>IFERROR(__xludf.DUMMYFUNCTION("""COMPUTED_VALUE"""),"NL")</f>
        <v>NL</v>
      </c>
      <c r="E63" s="168">
        <f t="shared" si="1"/>
        <v>0</v>
      </c>
      <c r="F63" s="168">
        <f t="shared" si="2"/>
        <v>0</v>
      </c>
      <c r="G63" s="168">
        <f t="shared" si="3"/>
        <v>0</v>
      </c>
      <c r="H63" s="169"/>
      <c r="I63" s="169"/>
      <c r="J63" s="173"/>
      <c r="K63" s="169">
        <v>0.0</v>
      </c>
      <c r="L63" s="169">
        <f>VLOOKUP(B63,'Công T5'!$B$8:$AO$89,40,0)</f>
        <v>0</v>
      </c>
      <c r="M63" s="173"/>
      <c r="N63" s="173"/>
      <c r="O63" s="173"/>
      <c r="P63" s="173"/>
      <c r="Q63" s="173"/>
      <c r="R63" s="173"/>
      <c r="S63" s="173"/>
      <c r="T63" s="182" t="s">
        <v>301</v>
      </c>
      <c r="U63" s="171">
        <f t="shared" si="4"/>
        <v>0</v>
      </c>
      <c r="V63" s="171"/>
      <c r="W63" s="171"/>
      <c r="X63" s="172"/>
      <c r="Y63" s="172"/>
      <c r="Z63" s="172"/>
      <c r="AA63" s="172"/>
      <c r="AB63" s="171"/>
      <c r="AC63" s="171"/>
      <c r="AD63" s="171"/>
      <c r="AE63" s="171"/>
      <c r="AF63" s="171"/>
      <c r="AG63" s="171"/>
    </row>
    <row r="64">
      <c r="A64" s="166">
        <f>IFERROR(__xludf.DUMMYFUNCTION("""COMPUTED_VALUE"""),37.0)</f>
        <v>37</v>
      </c>
      <c r="B64" s="167">
        <f>IFERROR(__xludf.DUMMYFUNCTION("""COMPUTED_VALUE"""),10037.0)</f>
        <v>10037</v>
      </c>
      <c r="C64" s="83" t="str">
        <f>IFERROR(__xludf.DUMMYFUNCTION("""COMPUTED_VALUE"""),"Đào Thị Huệ")</f>
        <v>Đào Thị Huệ</v>
      </c>
      <c r="D64" s="83" t="str">
        <f>IFERROR(__xludf.DUMMYFUNCTION("""COMPUTED_VALUE"""),"NL")</f>
        <v>NL</v>
      </c>
      <c r="E64" s="168">
        <f t="shared" si="1"/>
        <v>1</v>
      </c>
      <c r="F64" s="168">
        <f t="shared" si="2"/>
        <v>0</v>
      </c>
      <c r="G64" s="168">
        <f t="shared" si="3"/>
        <v>1</v>
      </c>
      <c r="H64" s="169"/>
      <c r="I64" s="169"/>
      <c r="J64" s="173"/>
      <c r="K64" s="169">
        <v>0.0</v>
      </c>
      <c r="L64" s="169">
        <f>VLOOKUP(B64,'Công T5'!$B$8:$AO$89,40,0)</f>
        <v>0</v>
      </c>
      <c r="M64" s="173"/>
      <c r="N64" s="173"/>
      <c r="O64" s="173"/>
      <c r="P64" s="173"/>
      <c r="Q64" s="173"/>
      <c r="R64" s="173"/>
      <c r="S64" s="173"/>
      <c r="T64" s="170">
        <v>42464.0</v>
      </c>
      <c r="U64" s="171">
        <f t="shared" si="4"/>
        <v>1</v>
      </c>
      <c r="V64" s="171"/>
      <c r="W64" s="171"/>
      <c r="X64" s="172"/>
      <c r="Y64" s="172"/>
      <c r="Z64" s="172"/>
      <c r="AA64" s="172"/>
      <c r="AB64" s="171"/>
      <c r="AC64" s="171"/>
      <c r="AD64" s="171"/>
      <c r="AE64" s="171"/>
      <c r="AF64" s="171"/>
      <c r="AG64" s="171"/>
    </row>
    <row r="65">
      <c r="A65" s="166">
        <f>IFERROR(__xludf.DUMMYFUNCTION("""COMPUTED_VALUE"""),38.0)</f>
        <v>38</v>
      </c>
      <c r="B65" s="167">
        <f>IFERROR(__xludf.DUMMYFUNCTION("""COMPUTED_VALUE"""),10023.0)</f>
        <v>10023</v>
      </c>
      <c r="C65" s="83" t="str">
        <f>IFERROR(__xludf.DUMMYFUNCTION("""COMPUTED_VALUE"""),"Đào Thị Hường")</f>
        <v>Đào Thị Hường</v>
      </c>
      <c r="D65" s="83" t="str">
        <f>IFERROR(__xludf.DUMMYFUNCTION("""COMPUTED_VALUE"""),"NL")</f>
        <v>NL</v>
      </c>
      <c r="E65" s="168">
        <f t="shared" si="1"/>
        <v>1</v>
      </c>
      <c r="F65" s="168">
        <f t="shared" si="2"/>
        <v>0</v>
      </c>
      <c r="G65" s="168">
        <f t="shared" si="3"/>
        <v>1</v>
      </c>
      <c r="H65" s="169"/>
      <c r="I65" s="169"/>
      <c r="J65" s="173"/>
      <c r="K65" s="169">
        <v>0.0</v>
      </c>
      <c r="L65" s="169">
        <f>VLOOKUP(B65,'Công T5'!$B$8:$AO$89,40,0)</f>
        <v>0</v>
      </c>
      <c r="M65" s="173"/>
      <c r="N65" s="173"/>
      <c r="O65" s="173"/>
      <c r="P65" s="173"/>
      <c r="Q65" s="173"/>
      <c r="R65" s="173"/>
      <c r="S65" s="173"/>
      <c r="T65" s="170">
        <v>42263.0</v>
      </c>
      <c r="U65" s="171">
        <f t="shared" si="4"/>
        <v>1</v>
      </c>
      <c r="V65" s="171"/>
      <c r="W65" s="171"/>
      <c r="X65" s="172"/>
      <c r="Y65" s="172"/>
      <c r="Z65" s="172"/>
      <c r="AA65" s="172"/>
      <c r="AB65" s="171"/>
      <c r="AC65" s="171"/>
      <c r="AD65" s="171"/>
      <c r="AE65" s="171"/>
      <c r="AF65" s="171"/>
      <c r="AG65" s="171"/>
    </row>
    <row r="66">
      <c r="A66" s="166">
        <f>IFERROR(__xludf.DUMMYFUNCTION("""COMPUTED_VALUE"""),39.0)</f>
        <v>39</v>
      </c>
      <c r="B66" s="167">
        <f>IFERROR(__xludf.DUMMYFUNCTION("""COMPUTED_VALUE"""),10158.0)</f>
        <v>10158</v>
      </c>
      <c r="C66" s="83" t="str">
        <f>IFERROR(__xludf.DUMMYFUNCTION("""COMPUTED_VALUE"""),"Đinh Thị Thu Hiền")</f>
        <v>Đinh Thị Thu Hiền</v>
      </c>
      <c r="D66" s="83" t="str">
        <f>IFERROR(__xludf.DUMMYFUNCTION("""COMPUTED_VALUE"""),"NL")</f>
        <v>NL</v>
      </c>
      <c r="E66" s="168">
        <f t="shared" si="1"/>
        <v>1</v>
      </c>
      <c r="F66" s="168">
        <f t="shared" si="2"/>
        <v>0</v>
      </c>
      <c r="G66" s="168">
        <f t="shared" si="3"/>
        <v>1</v>
      </c>
      <c r="H66" s="169"/>
      <c r="I66" s="169"/>
      <c r="J66" s="173"/>
      <c r="K66" s="169">
        <v>0.0</v>
      </c>
      <c r="L66" s="169">
        <f>VLOOKUP(B66,'Công T5'!$B$8:$AO$89,40,0)</f>
        <v>0</v>
      </c>
      <c r="M66" s="173"/>
      <c r="N66" s="173"/>
      <c r="O66" s="173"/>
      <c r="P66" s="173"/>
      <c r="Q66" s="173"/>
      <c r="R66" s="173"/>
      <c r="S66" s="173"/>
      <c r="T66" s="170">
        <v>43074.0</v>
      </c>
      <c r="U66" s="171">
        <f t="shared" si="4"/>
        <v>1</v>
      </c>
      <c r="V66" s="171"/>
      <c r="W66" s="171"/>
      <c r="X66" s="172"/>
      <c r="Y66" s="172"/>
      <c r="Z66" s="172"/>
      <c r="AA66" s="172"/>
      <c r="AB66" s="171"/>
      <c r="AC66" s="171"/>
      <c r="AD66" s="171"/>
      <c r="AE66" s="171"/>
      <c r="AF66" s="171"/>
      <c r="AG66" s="171"/>
    </row>
    <row r="67">
      <c r="A67" s="166">
        <f>IFERROR(__xludf.DUMMYFUNCTION("""COMPUTED_VALUE"""),40.0)</f>
        <v>40</v>
      </c>
      <c r="B67" s="167">
        <f>IFERROR(__xludf.DUMMYFUNCTION("""COMPUTED_VALUE"""),10359.0)</f>
        <v>10359</v>
      </c>
      <c r="C67" s="83" t="str">
        <f>IFERROR(__xludf.DUMMYFUNCTION("""COMPUTED_VALUE"""),"Đinh Xuân Lực")</f>
        <v>Đinh Xuân Lực</v>
      </c>
      <c r="D67" s="83" t="str">
        <f>IFERROR(__xludf.DUMMYFUNCTION("""COMPUTED_VALUE"""),"NL")</f>
        <v>NL</v>
      </c>
      <c r="E67" s="168">
        <f t="shared" si="1"/>
        <v>0</v>
      </c>
      <c r="F67" s="168">
        <f t="shared" si="2"/>
        <v>0</v>
      </c>
      <c r="G67" s="168">
        <f t="shared" si="3"/>
        <v>0</v>
      </c>
      <c r="H67" s="169"/>
      <c r="I67" s="169"/>
      <c r="J67" s="173"/>
      <c r="K67" s="169">
        <v>0.0</v>
      </c>
      <c r="L67" s="169">
        <f>VLOOKUP(B67,'Công T5'!$B$8:$AO$89,40,0)</f>
        <v>0</v>
      </c>
      <c r="M67" s="173"/>
      <c r="N67" s="173"/>
      <c r="O67" s="173"/>
      <c r="P67" s="173"/>
      <c r="Q67" s="173"/>
      <c r="R67" s="173"/>
      <c r="S67" s="173"/>
      <c r="T67" s="170">
        <v>43999.0</v>
      </c>
      <c r="U67" s="171">
        <f t="shared" si="4"/>
        <v>0</v>
      </c>
      <c r="V67" s="171"/>
      <c r="W67" s="171"/>
      <c r="X67" s="172"/>
      <c r="Y67" s="172"/>
      <c r="Z67" s="172"/>
      <c r="AA67" s="172"/>
      <c r="AB67" s="171"/>
      <c r="AC67" s="171"/>
      <c r="AD67" s="171"/>
      <c r="AE67" s="171"/>
      <c r="AF67" s="171"/>
      <c r="AG67" s="171"/>
    </row>
    <row r="68">
      <c r="A68" s="174">
        <f>IFERROR(__xludf.DUMMYFUNCTION("""COMPUTED_VALUE"""),41.0)</f>
        <v>41</v>
      </c>
      <c r="B68" s="175">
        <f>IFERROR(__xludf.DUMMYFUNCTION("""COMPUTED_VALUE"""),10038.0)</f>
        <v>10038</v>
      </c>
      <c r="C68" s="176" t="str">
        <f>IFERROR(__xludf.DUMMYFUNCTION("""COMPUTED_VALUE"""),"Đoàn Văn Anh")</f>
        <v>Đoàn Văn Anh</v>
      </c>
      <c r="D68" s="176" t="str">
        <f>IFERROR(__xludf.DUMMYFUNCTION("""COMPUTED_VALUE"""),"NL")</f>
        <v>NL</v>
      </c>
      <c r="E68" s="177">
        <f t="shared" si="1"/>
        <v>1</v>
      </c>
      <c r="F68" s="177">
        <f t="shared" si="2"/>
        <v>0</v>
      </c>
      <c r="G68" s="177">
        <f t="shared" si="3"/>
        <v>1</v>
      </c>
      <c r="H68" s="177"/>
      <c r="I68" s="177"/>
      <c r="J68" s="178"/>
      <c r="K68" s="177">
        <v>0.0</v>
      </c>
      <c r="L68" s="177">
        <f>VLOOKUP(B68,'Công T5'!$B$8:$AO$89,40,0)</f>
        <v>0</v>
      </c>
      <c r="M68" s="178"/>
      <c r="N68" s="178"/>
      <c r="O68" s="178"/>
      <c r="P68" s="178"/>
      <c r="Q68" s="178"/>
      <c r="R68" s="178"/>
      <c r="S68" s="178"/>
      <c r="T68" s="179">
        <v>42492.0</v>
      </c>
      <c r="U68" s="171">
        <f t="shared" si="4"/>
        <v>1</v>
      </c>
      <c r="V68" s="180"/>
      <c r="W68" s="180"/>
      <c r="X68" s="181"/>
      <c r="Y68" s="181"/>
      <c r="Z68" s="181"/>
      <c r="AA68" s="180"/>
      <c r="AB68" s="180"/>
      <c r="AC68" s="180"/>
      <c r="AD68" s="180"/>
      <c r="AE68" s="180"/>
      <c r="AF68" s="180"/>
      <c r="AG68" s="180"/>
    </row>
    <row r="69">
      <c r="A69" s="166">
        <f>IFERROR(__xludf.DUMMYFUNCTION("""COMPUTED_VALUE"""),42.0)</f>
        <v>42</v>
      </c>
      <c r="B69" s="167">
        <f>IFERROR(__xludf.DUMMYFUNCTION("""COMPUTED_VALUE"""),10045.0)</f>
        <v>10045</v>
      </c>
      <c r="C69" s="83" t="str">
        <f>IFERROR(__xludf.DUMMYFUNCTION("""COMPUTED_VALUE"""),"Hoàng Thị Phương")</f>
        <v>Hoàng Thị Phương</v>
      </c>
      <c r="D69" s="83" t="str">
        <f>IFERROR(__xludf.DUMMYFUNCTION("""COMPUTED_VALUE"""),"NL")</f>
        <v>NL</v>
      </c>
      <c r="E69" s="168">
        <f t="shared" si="1"/>
        <v>1</v>
      </c>
      <c r="F69" s="168">
        <f t="shared" si="2"/>
        <v>0</v>
      </c>
      <c r="G69" s="168">
        <f t="shared" si="3"/>
        <v>1</v>
      </c>
      <c r="H69" s="169"/>
      <c r="I69" s="169"/>
      <c r="J69" s="173"/>
      <c r="K69" s="169">
        <v>0.0</v>
      </c>
      <c r="L69" s="169">
        <f>VLOOKUP(B69,'Công T5'!$B$8:$AO$89,40,0)</f>
        <v>0</v>
      </c>
      <c r="M69" s="173"/>
      <c r="N69" s="173"/>
      <c r="O69" s="173"/>
      <c r="P69" s="173"/>
      <c r="Q69" s="173"/>
      <c r="R69" s="173"/>
      <c r="S69" s="173"/>
      <c r="T69" s="170">
        <v>42795.0</v>
      </c>
      <c r="U69" s="171">
        <f t="shared" si="4"/>
        <v>1</v>
      </c>
      <c r="V69" s="171"/>
      <c r="W69" s="171"/>
      <c r="X69" s="172"/>
      <c r="Y69" s="172"/>
      <c r="Z69" s="172"/>
      <c r="AA69" s="171"/>
      <c r="AB69" s="171"/>
      <c r="AC69" s="171"/>
      <c r="AD69" s="171"/>
      <c r="AE69" s="171"/>
      <c r="AF69" s="171"/>
      <c r="AG69" s="171"/>
    </row>
    <row r="70">
      <c r="A70" s="166">
        <f>IFERROR(__xludf.DUMMYFUNCTION("""COMPUTED_VALUE"""),43.0)</f>
        <v>43</v>
      </c>
      <c r="B70" s="167">
        <f>IFERROR(__xludf.DUMMYFUNCTION("""COMPUTED_VALUE"""),10106.0)</f>
        <v>10106</v>
      </c>
      <c r="C70" s="83" t="str">
        <f>IFERROR(__xludf.DUMMYFUNCTION("""COMPUTED_VALUE"""),"Khổng Thị Lan Anh")</f>
        <v>Khổng Thị Lan Anh</v>
      </c>
      <c r="D70" s="83" t="str">
        <f>IFERROR(__xludf.DUMMYFUNCTION("""COMPUTED_VALUE"""),"NL")</f>
        <v>NL</v>
      </c>
      <c r="E70" s="168">
        <f t="shared" si="1"/>
        <v>1</v>
      </c>
      <c r="F70" s="168">
        <f t="shared" si="2"/>
        <v>0</v>
      </c>
      <c r="G70" s="168">
        <f t="shared" si="3"/>
        <v>1</v>
      </c>
      <c r="H70" s="169"/>
      <c r="I70" s="169"/>
      <c r="J70" s="173"/>
      <c r="K70" s="169">
        <v>0.0</v>
      </c>
      <c r="L70" s="169">
        <f>VLOOKUP(B70,'Công T5'!$B$8:$AO$89,40,0)</f>
        <v>0</v>
      </c>
      <c r="M70" s="173"/>
      <c r="N70" s="173"/>
      <c r="O70" s="173"/>
      <c r="P70" s="173"/>
      <c r="Q70" s="173"/>
      <c r="R70" s="173"/>
      <c r="S70" s="173"/>
      <c r="T70" s="170">
        <v>42835.0</v>
      </c>
      <c r="U70" s="171">
        <f t="shared" si="4"/>
        <v>1</v>
      </c>
      <c r="V70" s="171"/>
      <c r="W70" s="171"/>
      <c r="X70" s="172"/>
      <c r="Y70" s="172"/>
      <c r="Z70" s="172"/>
      <c r="AA70" s="171"/>
      <c r="AB70" s="171"/>
      <c r="AC70" s="171"/>
      <c r="AD70" s="171"/>
      <c r="AE70" s="171"/>
      <c r="AF70" s="171"/>
      <c r="AG70" s="171"/>
    </row>
    <row r="71">
      <c r="A71" s="166">
        <f>IFERROR(__xludf.DUMMYFUNCTION("""COMPUTED_VALUE"""),44.0)</f>
        <v>44</v>
      </c>
      <c r="B71" s="167">
        <f>IFERROR(__xludf.DUMMYFUNCTION("""COMPUTED_VALUE"""),10274.0)</f>
        <v>10274</v>
      </c>
      <c r="C71" s="83" t="str">
        <f>IFERROR(__xludf.DUMMYFUNCTION("""COMPUTED_VALUE"""),"Ngô Văn Giang")</f>
        <v>Ngô Văn Giang</v>
      </c>
      <c r="D71" s="83" t="str">
        <f>IFERROR(__xludf.DUMMYFUNCTION("""COMPUTED_VALUE"""),"NL")</f>
        <v>NL</v>
      </c>
      <c r="E71" s="168">
        <f t="shared" si="1"/>
        <v>0</v>
      </c>
      <c r="F71" s="168">
        <f t="shared" si="2"/>
        <v>0</v>
      </c>
      <c r="G71" s="168">
        <f t="shared" si="3"/>
        <v>0</v>
      </c>
      <c r="H71" s="169"/>
      <c r="I71" s="169"/>
      <c r="J71" s="173"/>
      <c r="K71" s="169">
        <v>0.0</v>
      </c>
      <c r="L71" s="169">
        <f>VLOOKUP(B71,'Công T5'!$B$8:$AO$89,40,0)</f>
        <v>0</v>
      </c>
      <c r="M71" s="173"/>
      <c r="N71" s="173"/>
      <c r="O71" s="173"/>
      <c r="P71" s="173"/>
      <c r="Q71" s="173"/>
      <c r="R71" s="173"/>
      <c r="S71" s="173"/>
      <c r="T71" s="170">
        <v>43662.0</v>
      </c>
      <c r="U71" s="171">
        <f t="shared" si="4"/>
        <v>0</v>
      </c>
      <c r="V71" s="171"/>
      <c r="W71" s="171"/>
      <c r="X71" s="172"/>
      <c r="Y71" s="172"/>
      <c r="Z71" s="172"/>
      <c r="AA71" s="171"/>
      <c r="AB71" s="171"/>
      <c r="AC71" s="171"/>
      <c r="AD71" s="171"/>
      <c r="AE71" s="171"/>
      <c r="AF71" s="171"/>
      <c r="AG71" s="171"/>
    </row>
    <row r="72">
      <c r="A72" s="166">
        <f>IFERROR(__xludf.DUMMYFUNCTION("""COMPUTED_VALUE"""),45.0)</f>
        <v>45</v>
      </c>
      <c r="B72" s="167">
        <f>IFERROR(__xludf.DUMMYFUNCTION("""COMPUTED_VALUE"""),10216.0)</f>
        <v>10216</v>
      </c>
      <c r="C72" s="83" t="str">
        <f>IFERROR(__xludf.DUMMYFUNCTION("""COMPUTED_VALUE"""),"Ngô Văn Thưởng")</f>
        <v>Ngô Văn Thưởng</v>
      </c>
      <c r="D72" s="83" t="str">
        <f>IFERROR(__xludf.DUMMYFUNCTION("""COMPUTED_VALUE"""),"NL")</f>
        <v>NL</v>
      </c>
      <c r="E72" s="168">
        <f t="shared" si="1"/>
        <v>1</v>
      </c>
      <c r="F72" s="168">
        <f t="shared" si="2"/>
        <v>0</v>
      </c>
      <c r="G72" s="168">
        <f t="shared" si="3"/>
        <v>1</v>
      </c>
      <c r="H72" s="169"/>
      <c r="I72" s="169"/>
      <c r="J72" s="173"/>
      <c r="K72" s="169">
        <v>0.0</v>
      </c>
      <c r="L72" s="169">
        <f>VLOOKUP(B72,'Công T5'!$B$8:$AO$89,40,0)</f>
        <v>0</v>
      </c>
      <c r="M72" s="173"/>
      <c r="N72" s="173"/>
      <c r="O72" s="173"/>
      <c r="P72" s="173"/>
      <c r="Q72" s="173"/>
      <c r="R72" s="173"/>
      <c r="S72" s="173"/>
      <c r="T72" s="170">
        <v>43374.0</v>
      </c>
      <c r="U72" s="171">
        <f t="shared" si="4"/>
        <v>1</v>
      </c>
      <c r="V72" s="171"/>
      <c r="W72" s="171"/>
      <c r="X72" s="172"/>
      <c r="Y72" s="172"/>
      <c r="Z72" s="172"/>
      <c r="AA72" s="171"/>
      <c r="AB72" s="171"/>
      <c r="AC72" s="171"/>
      <c r="AD72" s="171"/>
      <c r="AE72" s="171"/>
      <c r="AF72" s="171"/>
      <c r="AG72" s="171"/>
    </row>
    <row r="73">
      <c r="A73" s="166">
        <f>IFERROR(__xludf.DUMMYFUNCTION("""COMPUTED_VALUE"""),46.0)</f>
        <v>46</v>
      </c>
      <c r="B73" s="167">
        <f>IFERROR(__xludf.DUMMYFUNCTION("""COMPUTED_VALUE"""),10379.0)</f>
        <v>10379</v>
      </c>
      <c r="C73" s="83" t="str">
        <f>IFERROR(__xludf.DUMMYFUNCTION("""COMPUTED_VALUE"""),"Nguyễn Văn Luân")</f>
        <v>Nguyễn Văn Luân</v>
      </c>
      <c r="D73" s="83" t="str">
        <f>IFERROR(__xludf.DUMMYFUNCTION("""COMPUTED_VALUE"""),"NL")</f>
        <v>NL</v>
      </c>
      <c r="E73" s="168">
        <f t="shared" si="1"/>
        <v>0</v>
      </c>
      <c r="F73" s="168">
        <f t="shared" si="2"/>
        <v>0</v>
      </c>
      <c r="G73" s="168">
        <f t="shared" si="3"/>
        <v>0</v>
      </c>
      <c r="H73" s="169"/>
      <c r="I73" s="169"/>
      <c r="J73" s="173"/>
      <c r="K73" s="169">
        <v>0.0</v>
      </c>
      <c r="L73" s="169">
        <f>VLOOKUP(B73,'Công T5'!$B$8:$AO$89,40,0)</f>
        <v>0</v>
      </c>
      <c r="M73" s="173"/>
      <c r="N73" s="173"/>
      <c r="O73" s="173"/>
      <c r="P73" s="173"/>
      <c r="Q73" s="173"/>
      <c r="R73" s="173"/>
      <c r="S73" s="173"/>
      <c r="T73" s="170">
        <v>44205.0</v>
      </c>
      <c r="U73" s="171">
        <f t="shared" si="4"/>
        <v>0</v>
      </c>
      <c r="V73" s="171"/>
      <c r="W73" s="171"/>
      <c r="X73" s="172"/>
      <c r="Y73" s="172"/>
      <c r="Z73" s="172"/>
      <c r="AA73" s="171"/>
      <c r="AB73" s="171"/>
      <c r="AC73" s="171"/>
      <c r="AD73" s="171"/>
      <c r="AE73" s="171"/>
      <c r="AF73" s="171"/>
      <c r="AG73" s="171"/>
    </row>
    <row r="74">
      <c r="A74" s="166">
        <f>IFERROR(__xludf.DUMMYFUNCTION("""COMPUTED_VALUE"""),47.0)</f>
        <v>47</v>
      </c>
      <c r="B74" s="167">
        <f>IFERROR(__xludf.DUMMYFUNCTION("""COMPUTED_VALUE"""),10202.0)</f>
        <v>10202</v>
      </c>
      <c r="C74" s="83" t="str">
        <f>IFERROR(__xludf.DUMMYFUNCTION("""COMPUTED_VALUE"""),"Phan Duy Hội")</f>
        <v>Phan Duy Hội</v>
      </c>
      <c r="D74" s="83" t="str">
        <f>IFERROR(__xludf.DUMMYFUNCTION("""COMPUTED_VALUE"""),"NL")</f>
        <v>NL</v>
      </c>
      <c r="E74" s="168">
        <f t="shared" si="1"/>
        <v>1</v>
      </c>
      <c r="F74" s="168">
        <f t="shared" si="2"/>
        <v>0</v>
      </c>
      <c r="G74" s="168">
        <f t="shared" si="3"/>
        <v>1</v>
      </c>
      <c r="H74" s="169"/>
      <c r="I74" s="169"/>
      <c r="J74" s="173"/>
      <c r="K74" s="169">
        <v>0.0</v>
      </c>
      <c r="L74" s="169">
        <f>VLOOKUP(B74,'Công T5'!$B$8:$AO$89,40,0)</f>
        <v>0</v>
      </c>
      <c r="M74" s="173"/>
      <c r="N74" s="173"/>
      <c r="O74" s="173"/>
      <c r="P74" s="173"/>
      <c r="Q74" s="173"/>
      <c r="R74" s="173"/>
      <c r="S74" s="173"/>
      <c r="T74" s="170">
        <v>43587.0</v>
      </c>
      <c r="U74" s="171">
        <f t="shared" si="4"/>
        <v>1</v>
      </c>
      <c r="V74" s="171"/>
      <c r="W74" s="171"/>
      <c r="X74" s="172"/>
      <c r="Y74" s="172"/>
      <c r="Z74" s="172"/>
      <c r="AA74" s="171"/>
      <c r="AB74" s="171"/>
      <c r="AC74" s="171"/>
      <c r="AD74" s="171"/>
      <c r="AE74" s="171"/>
      <c r="AF74" s="171"/>
      <c r="AG74" s="171"/>
    </row>
    <row r="75">
      <c r="A75" s="166">
        <f>IFERROR(__xludf.DUMMYFUNCTION("""COMPUTED_VALUE"""),48.0)</f>
        <v>48</v>
      </c>
      <c r="B75" s="167">
        <f>IFERROR(__xludf.DUMMYFUNCTION("""COMPUTED_VALUE"""),10284.0)</f>
        <v>10284</v>
      </c>
      <c r="C75" s="83" t="str">
        <f>IFERROR(__xludf.DUMMYFUNCTION("""COMPUTED_VALUE"""),"Phan Thanh Liêm")</f>
        <v>Phan Thanh Liêm</v>
      </c>
      <c r="D75" s="83" t="str">
        <f>IFERROR(__xludf.DUMMYFUNCTION("""COMPUTED_VALUE"""),"NL")</f>
        <v>NL</v>
      </c>
      <c r="E75" s="168">
        <f t="shared" si="1"/>
        <v>1</v>
      </c>
      <c r="F75" s="168">
        <f t="shared" si="2"/>
        <v>0</v>
      </c>
      <c r="G75" s="168">
        <f t="shared" si="3"/>
        <v>1</v>
      </c>
      <c r="H75" s="169"/>
      <c r="I75" s="169"/>
      <c r="J75" s="173"/>
      <c r="K75" s="169">
        <v>0.0</v>
      </c>
      <c r="L75" s="169">
        <f>VLOOKUP(B75,'Công T5'!$B$8:$AO$89,40,0)</f>
        <v>0</v>
      </c>
      <c r="M75" s="173"/>
      <c r="N75" s="173"/>
      <c r="O75" s="173"/>
      <c r="P75" s="173"/>
      <c r="Q75" s="173"/>
      <c r="R75" s="173"/>
      <c r="S75" s="173"/>
      <c r="T75" s="170">
        <v>43591.0</v>
      </c>
      <c r="U75" s="171">
        <f t="shared" si="4"/>
        <v>1</v>
      </c>
      <c r="V75" s="171"/>
      <c r="W75" s="171"/>
      <c r="X75" s="172"/>
      <c r="Y75" s="172"/>
      <c r="Z75" s="172"/>
      <c r="AA75" s="171"/>
      <c r="AB75" s="171"/>
      <c r="AC75" s="171"/>
      <c r="AD75" s="171"/>
      <c r="AE75" s="171"/>
      <c r="AF75" s="171"/>
      <c r="AG75" s="171"/>
    </row>
    <row r="76">
      <c r="A76" s="166">
        <f>IFERROR(__xludf.DUMMYFUNCTION("""COMPUTED_VALUE"""),49.0)</f>
        <v>49</v>
      </c>
      <c r="B76" s="167">
        <f>IFERROR(__xludf.DUMMYFUNCTION("""COMPUTED_VALUE"""),10388.0)</f>
        <v>10388</v>
      </c>
      <c r="C76" s="83" t="str">
        <f>IFERROR(__xludf.DUMMYFUNCTION("""COMPUTED_VALUE"""),"Tạ Minh Khanh")</f>
        <v>Tạ Minh Khanh</v>
      </c>
      <c r="D76" s="83" t="str">
        <f>IFERROR(__xludf.DUMMYFUNCTION("""COMPUTED_VALUE"""),"NL")</f>
        <v>NL</v>
      </c>
      <c r="E76" s="168">
        <f t="shared" si="1"/>
        <v>0</v>
      </c>
      <c r="F76" s="168">
        <f t="shared" si="2"/>
        <v>0</v>
      </c>
      <c r="G76" s="168">
        <f t="shared" si="3"/>
        <v>0</v>
      </c>
      <c r="H76" s="169"/>
      <c r="I76" s="169"/>
      <c r="J76" s="173"/>
      <c r="K76" s="169">
        <v>0.0</v>
      </c>
      <c r="L76" s="169">
        <f>VLOOKUP(B76,'Công T5'!$B$8:$AO$89,40,0)</f>
        <v>0</v>
      </c>
      <c r="M76" s="173"/>
      <c r="N76" s="173"/>
      <c r="O76" s="173"/>
      <c r="P76" s="173"/>
      <c r="Q76" s="173"/>
      <c r="R76" s="173"/>
      <c r="S76" s="173"/>
      <c r="T76" s="170">
        <v>44392.0</v>
      </c>
      <c r="U76" s="171">
        <f t="shared" si="4"/>
        <v>0</v>
      </c>
      <c r="V76" s="171"/>
      <c r="W76" s="171"/>
      <c r="X76" s="172"/>
      <c r="Y76" s="172"/>
      <c r="Z76" s="172"/>
      <c r="AA76" s="171"/>
      <c r="AB76" s="171"/>
      <c r="AC76" s="171"/>
      <c r="AD76" s="171"/>
      <c r="AE76" s="171"/>
      <c r="AF76" s="171"/>
      <c r="AG76" s="171"/>
    </row>
    <row r="77" hidden="1">
      <c r="A77" s="183"/>
      <c r="B77" s="184"/>
      <c r="C77" s="185"/>
      <c r="D77" s="185"/>
      <c r="E77" s="186"/>
      <c r="F77" s="186"/>
      <c r="G77" s="186"/>
      <c r="H77" s="186"/>
      <c r="I77" s="186"/>
      <c r="J77" s="186"/>
      <c r="K77" s="187"/>
      <c r="L77" s="186"/>
      <c r="M77" s="186"/>
      <c r="N77" s="186"/>
      <c r="O77" s="186"/>
      <c r="P77" s="186"/>
      <c r="Q77" s="186"/>
      <c r="R77" s="186"/>
      <c r="S77" s="186"/>
      <c r="T77" s="188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</row>
    <row r="78" hidden="1">
      <c r="A78" s="183"/>
      <c r="B78" s="184"/>
      <c r="C78" s="185"/>
      <c r="D78" s="185"/>
      <c r="E78" s="186"/>
      <c r="F78" s="186"/>
      <c r="G78" s="186"/>
      <c r="H78" s="186"/>
      <c r="I78" s="186"/>
      <c r="J78" s="186"/>
      <c r="K78" s="187"/>
      <c r="L78" s="186"/>
      <c r="M78" s="186"/>
      <c r="N78" s="186"/>
      <c r="O78" s="186"/>
      <c r="P78" s="186"/>
      <c r="Q78" s="186"/>
      <c r="R78" s="186"/>
      <c r="S78" s="186"/>
      <c r="T78" s="188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</row>
    <row r="79" hidden="1">
      <c r="A79" s="183"/>
      <c r="B79" s="184"/>
      <c r="C79" s="185"/>
      <c r="D79" s="185"/>
      <c r="E79" s="186"/>
      <c r="F79" s="186"/>
      <c r="G79" s="186"/>
      <c r="H79" s="186"/>
      <c r="I79" s="186"/>
      <c r="J79" s="186"/>
      <c r="K79" s="187"/>
      <c r="L79" s="186"/>
      <c r="M79" s="186"/>
      <c r="N79" s="186"/>
      <c r="O79" s="186"/>
      <c r="P79" s="186"/>
      <c r="Q79" s="186"/>
      <c r="R79" s="186"/>
      <c r="S79" s="186"/>
      <c r="T79" s="188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</row>
    <row r="80" hidden="1">
      <c r="A80" s="183"/>
      <c r="B80" s="184"/>
      <c r="C80" s="185"/>
      <c r="D80" s="185"/>
      <c r="E80" s="186"/>
      <c r="F80" s="186"/>
      <c r="G80" s="186"/>
      <c r="H80" s="186"/>
      <c r="I80" s="186"/>
      <c r="J80" s="186"/>
      <c r="K80" s="187"/>
      <c r="L80" s="186"/>
      <c r="M80" s="186"/>
      <c r="N80" s="186"/>
      <c r="O80" s="186"/>
      <c r="P80" s="186"/>
      <c r="Q80" s="186"/>
      <c r="R80" s="186"/>
      <c r="S80" s="186"/>
      <c r="T80" s="188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</row>
    <row r="81" hidden="1">
      <c r="A81" s="183"/>
      <c r="B81" s="184"/>
      <c r="C81" s="185"/>
      <c r="D81" s="185"/>
      <c r="E81" s="186"/>
      <c r="F81" s="186"/>
      <c r="G81" s="186"/>
      <c r="H81" s="186"/>
      <c r="I81" s="186"/>
      <c r="J81" s="186"/>
      <c r="K81" s="187"/>
      <c r="L81" s="186"/>
      <c r="M81" s="186"/>
      <c r="N81" s="186"/>
      <c r="O81" s="186"/>
      <c r="P81" s="186"/>
      <c r="Q81" s="186"/>
      <c r="R81" s="186"/>
      <c r="S81" s="186"/>
      <c r="T81" s="188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</row>
    <row r="82" hidden="1">
      <c r="A82" s="183"/>
      <c r="B82" s="184"/>
      <c r="C82" s="185"/>
      <c r="D82" s="185"/>
      <c r="E82" s="186"/>
      <c r="F82" s="186"/>
      <c r="G82" s="186"/>
      <c r="H82" s="186"/>
      <c r="I82" s="186"/>
      <c r="J82" s="186"/>
      <c r="K82" s="187"/>
      <c r="L82" s="186"/>
      <c r="M82" s="186"/>
      <c r="N82" s="186"/>
      <c r="O82" s="186"/>
      <c r="P82" s="186"/>
      <c r="Q82" s="186"/>
      <c r="R82" s="186"/>
      <c r="S82" s="186"/>
      <c r="T82" s="188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</row>
    <row r="83" hidden="1">
      <c r="A83" s="183"/>
      <c r="B83" s="184"/>
      <c r="C83" s="185"/>
      <c r="D83" s="185"/>
      <c r="E83" s="186"/>
      <c r="F83" s="186"/>
      <c r="G83" s="186"/>
      <c r="H83" s="186"/>
      <c r="I83" s="186"/>
      <c r="J83" s="186"/>
      <c r="K83" s="187"/>
      <c r="L83" s="186"/>
      <c r="M83" s="186"/>
      <c r="N83" s="186"/>
      <c r="O83" s="186"/>
      <c r="P83" s="186"/>
      <c r="Q83" s="186"/>
      <c r="R83" s="186"/>
      <c r="S83" s="186"/>
      <c r="T83" s="188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</row>
    <row r="84" hidden="1">
      <c r="A84" s="183"/>
      <c r="B84" s="184"/>
      <c r="C84" s="185"/>
      <c r="D84" s="185"/>
      <c r="E84" s="186"/>
      <c r="F84" s="186"/>
      <c r="G84" s="186"/>
      <c r="H84" s="186"/>
      <c r="I84" s="186"/>
      <c r="J84" s="186"/>
      <c r="K84" s="187"/>
      <c r="L84" s="186"/>
      <c r="M84" s="186"/>
      <c r="N84" s="186"/>
      <c r="O84" s="186"/>
      <c r="P84" s="186"/>
      <c r="Q84" s="186"/>
      <c r="R84" s="186"/>
      <c r="S84" s="186"/>
      <c r="T84" s="188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</row>
    <row r="85" hidden="1">
      <c r="A85" s="183"/>
      <c r="B85" s="184"/>
      <c r="C85" s="185"/>
      <c r="D85" s="185"/>
      <c r="E85" s="186"/>
      <c r="F85" s="186"/>
      <c r="G85" s="186"/>
      <c r="H85" s="186"/>
      <c r="I85" s="186"/>
      <c r="J85" s="186"/>
      <c r="K85" s="187"/>
      <c r="L85" s="186"/>
      <c r="M85" s="186"/>
      <c r="N85" s="186"/>
      <c r="O85" s="186"/>
      <c r="P85" s="186"/>
      <c r="Q85" s="186"/>
      <c r="R85" s="186"/>
      <c r="S85" s="186"/>
      <c r="T85" s="188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</row>
    <row r="86" hidden="1">
      <c r="A86" s="183"/>
      <c r="B86" s="184"/>
      <c r="C86" s="185"/>
      <c r="D86" s="185"/>
      <c r="E86" s="186"/>
      <c r="F86" s="186"/>
      <c r="G86" s="186"/>
      <c r="H86" s="186"/>
      <c r="I86" s="186"/>
      <c r="J86" s="186"/>
      <c r="K86" s="187"/>
      <c r="L86" s="186"/>
      <c r="M86" s="186"/>
      <c r="N86" s="186"/>
      <c r="O86" s="186"/>
      <c r="P86" s="186"/>
      <c r="Q86" s="186"/>
      <c r="R86" s="186"/>
      <c r="S86" s="186"/>
      <c r="T86" s="188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</row>
  </sheetData>
  <mergeCells count="3">
    <mergeCell ref="H1:AG1"/>
    <mergeCell ref="H3:S3"/>
    <mergeCell ref="T3:AG3"/>
  </mergeCells>
  <conditionalFormatting sqref="A5:AG86">
    <cfRule type="expression" dxfId="10" priority="1">
      <formula>$G5&lt;0</formula>
    </cfRule>
  </conditionalFormatting>
  <conditionalFormatting sqref="A5:AG86">
    <cfRule type="expression" dxfId="11" priority="2">
      <formula>$G5=0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75"/>
  <cols>
    <col customWidth="1" min="1" max="1" width="7.13"/>
    <col customWidth="1" min="2" max="2" width="22.75"/>
    <col customWidth="1" min="3" max="3" width="9.13"/>
    <col customWidth="1" min="4" max="24" width="8.63"/>
  </cols>
  <sheetData>
    <row r="1" hidden="1">
      <c r="A1" s="112"/>
      <c r="B1" s="112"/>
      <c r="C1" s="112"/>
      <c r="D1" s="190"/>
      <c r="E1" s="114">
        <f>'Công T5'!B93</f>
        <v>44688</v>
      </c>
      <c r="F1" s="114">
        <f>'Công T5'!B94</f>
        <v>44702</v>
      </c>
      <c r="G1" s="114" t="str">
        <f>'Công T5'!B95</f>
        <v/>
      </c>
      <c r="H1" s="115"/>
      <c r="I1" s="116">
        <v>0.3333333333333333</v>
      </c>
      <c r="J1" s="116">
        <v>0.3541666666666667</v>
      </c>
      <c r="K1" s="116">
        <v>0.4375</v>
      </c>
      <c r="L1" s="116">
        <v>0.5</v>
      </c>
      <c r="M1" s="116">
        <v>0.5416666666666666</v>
      </c>
      <c r="N1" s="116">
        <v>0.7083333333333334</v>
      </c>
      <c r="O1" s="116">
        <v>0.9375</v>
      </c>
      <c r="P1" s="116">
        <v>0.9375</v>
      </c>
      <c r="Q1" s="116">
        <v>0.20833333333333334</v>
      </c>
      <c r="R1" s="116">
        <v>0.875</v>
      </c>
      <c r="S1" s="117">
        <v>0.4583333333333333</v>
      </c>
      <c r="T1" s="117">
        <v>0.5208333333333334</v>
      </c>
      <c r="U1" s="117">
        <v>0.7083333333333334</v>
      </c>
      <c r="V1" s="117">
        <v>0.8333333333333334</v>
      </c>
      <c r="W1" s="118"/>
      <c r="X1" s="191"/>
    </row>
    <row r="2" hidden="1">
      <c r="A2" s="112"/>
      <c r="B2" s="112"/>
      <c r="C2" s="112"/>
      <c r="D2" s="190"/>
      <c r="E2" s="112"/>
      <c r="F2" s="120"/>
      <c r="G2" s="121"/>
      <c r="H2" s="121"/>
      <c r="I2" s="122" t="s">
        <v>135</v>
      </c>
      <c r="J2" s="122" t="s">
        <v>136</v>
      </c>
      <c r="K2" s="122" t="s">
        <v>137</v>
      </c>
      <c r="L2" s="122" t="s">
        <v>138</v>
      </c>
      <c r="M2" s="123" t="s">
        <v>139</v>
      </c>
      <c r="N2" s="124" t="s">
        <v>140</v>
      </c>
      <c r="O2" s="124" t="s">
        <v>141</v>
      </c>
      <c r="P2" s="124" t="s">
        <v>141</v>
      </c>
      <c r="Q2" s="124" t="s">
        <v>170</v>
      </c>
      <c r="R2" s="124" t="s">
        <v>171</v>
      </c>
      <c r="S2" s="125" t="s">
        <v>172</v>
      </c>
      <c r="T2" s="125" t="s">
        <v>172</v>
      </c>
      <c r="U2" s="125" t="s">
        <v>173</v>
      </c>
      <c r="V2" s="125" t="s">
        <v>173</v>
      </c>
      <c r="W2" s="118"/>
      <c r="X2" s="191"/>
    </row>
    <row r="3">
      <c r="A3" s="126"/>
      <c r="B3" s="126"/>
      <c r="C3" s="126" t="s">
        <v>174</v>
      </c>
    </row>
    <row r="4">
      <c r="A4" s="112"/>
      <c r="B4" s="112"/>
      <c r="C4" s="112"/>
      <c r="D4" s="190"/>
      <c r="E4" s="112"/>
      <c r="F4" s="120"/>
      <c r="G4" s="120"/>
      <c r="H4" s="120"/>
      <c r="I4" s="120"/>
      <c r="J4" s="120"/>
      <c r="K4" s="120"/>
      <c r="L4" s="120"/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92"/>
    </row>
    <row r="5">
      <c r="A5" s="130" t="s">
        <v>22</v>
      </c>
      <c r="B5" s="130" t="s">
        <v>175</v>
      </c>
      <c r="C5" s="130" t="s">
        <v>4</v>
      </c>
      <c r="D5" s="193" t="s">
        <v>176</v>
      </c>
      <c r="E5" s="130" t="s">
        <v>148</v>
      </c>
      <c r="F5" s="130" t="s">
        <v>177</v>
      </c>
      <c r="G5" s="130" t="s">
        <v>146</v>
      </c>
      <c r="H5" s="130" t="s">
        <v>147</v>
      </c>
      <c r="I5" s="130" t="s">
        <v>153</v>
      </c>
      <c r="J5" s="130" t="s">
        <v>154</v>
      </c>
      <c r="K5" s="130" t="s">
        <v>155</v>
      </c>
      <c r="L5" s="130" t="s">
        <v>156</v>
      </c>
      <c r="M5" s="132" t="s">
        <v>157</v>
      </c>
      <c r="N5" s="133" t="s">
        <v>18</v>
      </c>
      <c r="O5" s="133" t="s">
        <v>19</v>
      </c>
      <c r="P5" s="133" t="s">
        <v>35</v>
      </c>
      <c r="Q5" s="133" t="s">
        <v>36</v>
      </c>
      <c r="R5" s="133" t="s">
        <v>178</v>
      </c>
      <c r="S5" s="133" t="s">
        <v>179</v>
      </c>
      <c r="T5" s="133" t="s">
        <v>180</v>
      </c>
      <c r="U5" s="133" t="s">
        <v>181</v>
      </c>
      <c r="V5" s="133" t="s">
        <v>182</v>
      </c>
      <c r="W5" s="133" t="s">
        <v>183</v>
      </c>
      <c r="X5" s="194" t="s">
        <v>17</v>
      </c>
    </row>
    <row r="6" hidden="1">
      <c r="A6" s="135">
        <v>0.0</v>
      </c>
      <c r="B6" s="135" t="s">
        <v>185</v>
      </c>
      <c r="C6" s="135" t="s">
        <v>56</v>
      </c>
      <c r="D6" s="195">
        <v>44690.0</v>
      </c>
      <c r="E6" s="135" t="str">
        <f>IFERROR(VLOOKUP(C6,'Công T5'!$C$7:$F$89,4,0),"")</f>
        <v>QS</v>
      </c>
      <c r="F6" s="137">
        <f>IFERROR(__xludf.DUMMYFUNCTION("INDEX(FILTER('Công T5'!$B$8:$C$89,'Công T5'!$C$8:$C$89=C6),1,1)"),10384.0)</f>
        <v>10384</v>
      </c>
      <c r="G6" s="138">
        <f>IFERROR(__xludf.DUMMYFUNCTION("IFERROR(INDEX(FILTER('Vân tay'!$A$5:$O270,'Vân tay'!$C$5:$C270=F6,'Vân tay'!$B$5:$B270=D6),1,10),"""")"),0.28402777777777777)</f>
        <v>0.2840277778</v>
      </c>
      <c r="H6" s="138">
        <f>IFERROR(__xludf.DUMMYFUNCTION("IFERROR(INDEX(FILTER('Vân tay'!$A$5:$O270,'Vân tay'!$C$5:$C270=F6,'Vân tay'!$B$5:$B270=D6),1,11),"""")"),0.775)</f>
        <v>0.775</v>
      </c>
      <c r="I6" s="138">
        <f>IFERROR(__xludf.DUMMYFUNCTION("IFERROR(INDEX(FILTER('Vân tay'!$A$5:$O270,'Vân tay'!$C$5:$C270=F6,'Vân tay'!$B$5:$B270=D6),1,14),"""")"),0.3333333333333333)</f>
        <v>0.3333333333</v>
      </c>
      <c r="J6" s="138">
        <f>IFERROR(__xludf.DUMMYFUNCTION("IFERROR(INDEX(FILTER('Vân tay'!$A$5:$O270,'Vân tay'!$C$5:$C270=F6,'Vân tay'!$B$5:$B270=D6),1,15),"""")"),0.7083333333333334)</f>
        <v>0.7083333333</v>
      </c>
      <c r="K6" s="196">
        <f t="shared" ref="K6:K270" si="1">if(B6="","",if(J6&lt;&gt;"",if(I6&lt;$L$1,if(J6&lt;$L$1,J6-I6,$L$1-I6),0),"")*24/8)</f>
        <v>0.5</v>
      </c>
      <c r="L6" s="196">
        <f t="shared" ref="L6:L270" si="2">if(I6="","",if(J6="","",if(J6&gt;$M$1,if(I6&lt;$M$1,J6-$M$1,J6-I6)*24/8,"")))</f>
        <v>0.5</v>
      </c>
      <c r="M6" s="197">
        <f>if(B6="","",if(J6="",0.5,if(E6="NL",1,(K6+L6))))</f>
        <v>1</v>
      </c>
      <c r="N6" s="198">
        <f t="shared" ref="N6:N270" si="3">if(G6&lt;&gt;"",if(G6&gt;$I$1,1,0),"")</f>
        <v>0</v>
      </c>
      <c r="O6" s="198">
        <f>if(B6&lt;&gt;"",if(OR(J6="",M6=""),1,0),"")</f>
        <v>0</v>
      </c>
      <c r="P6" s="198"/>
      <c r="Q6" s="198">
        <f t="shared" ref="Q6:Q270" si="4">if(and(WEEKDAY(D6,3)&gt;4,D6&lt;&gt;$E$1,D6&lt;&gt;$F$1,D6&lt;&gt;$G$1),if(M6="CT",1,if(M6="C/2",0.5,M6)),0)</f>
        <v>0</v>
      </c>
      <c r="R6" s="198">
        <f t="shared" ref="R6:R270" si="5">if(and(or(WEEKDAY(D6,3)&lt;5,D6=$E$1,D6=$F$1,D6=$G$1),G6&lt;$Q$1,G6&lt;&gt;""),1,0)+if(and(or(WEEKDAY(D6,3)&lt;5,D6=$E$1,D6=$F$1,D6=$G$1),H6&gt;$R$1,H6&lt;&gt;""),1,0)</f>
        <v>0</v>
      </c>
      <c r="S6" s="199">
        <f t="shared" ref="S6:S270" si="6">if(and(WEEKDAY(D6,3)&gt;4,D6&lt;&gt;$E$1,D6&lt;&gt;$F$1,D6&lt;&gt;$G$1,G6&lt;$Q$1,G6&lt;&gt;""),1,0)+if(and(WEEKDAY(D6,3)&gt;4,D6&lt;&gt;$E$1,D6&lt;&gt;$F$1,D6&lt;&gt;$G$1,H6&gt;$R$1,H6&lt;&gt;""),1,0)</f>
        <v>0</v>
      </c>
      <c r="T6" s="198">
        <f t="shared" ref="T6:T270" si="7">if(and(E6="ĐT",H6&lt;&gt;"",H6&gt;$R$1),1,0)</f>
        <v>0</v>
      </c>
      <c r="U6" s="198"/>
      <c r="V6" s="198"/>
      <c r="W6" s="198">
        <f t="shared" ref="W6:W270" si="8">if(E6="LX",if(and(G6&lt;$S$1,H6&gt;$T$1,M6&lt;&gt;1,M6&lt;&gt;"CT"),1,""),"")+if(E6="LX",if(and(G6&lt;$U$1,H6&gt;$V$1),1,""),"")</f>
        <v>0</v>
      </c>
      <c r="X6" s="200" t="str">
        <f>(#REF!+#REF!*2+#REF!*3)/'Công T5'!F92*8000000+'Công T5'!EU31*30000-654000</f>
        <v>#REF!</v>
      </c>
    </row>
    <row r="7">
      <c r="A7" s="135">
        <v>1.0</v>
      </c>
      <c r="B7" s="135" t="s">
        <v>194</v>
      </c>
      <c r="C7" s="135" t="s">
        <v>47</v>
      </c>
      <c r="D7" s="195">
        <v>44707.0</v>
      </c>
      <c r="E7" s="135" t="str">
        <f>IFERROR(VLOOKUP(C7,'Công T5'!$C$7:$F$89,4,0),"")</f>
        <v>BLĐ</v>
      </c>
      <c r="F7" s="137">
        <f>IFERROR(__xludf.DUMMYFUNCTION("INDEX(FILTER('Công T5'!$B$8:$C$89,'Công T5'!$C$8:$C$89=C7),1,1)"),10031.0)</f>
        <v>10031</v>
      </c>
      <c r="G7" s="138" t="str">
        <f>IFERROR(__xludf.DUMMYFUNCTION("IFERROR(INDEX(FILTER('Vân tay'!$A$5:$O270,'Vân tay'!$C$5:$C270=F7,'Vân tay'!$B$5:$B270=D7),1,10),"""")"),"")</f>
        <v/>
      </c>
      <c r="H7" s="138" t="str">
        <f>IFERROR(__xludf.DUMMYFUNCTION("IFERROR(INDEX(FILTER('Vân tay'!$A$5:$O270,'Vân tay'!$C$5:$C270=F7,'Vân tay'!$B$5:$B270=D7),1,11),"""")"),"")</f>
        <v/>
      </c>
      <c r="I7" s="138" t="str">
        <f>IFERROR(__xludf.DUMMYFUNCTION("IFERROR(INDEX(FILTER('Vân tay'!$A$5:$O270,'Vân tay'!$C$5:$C270=F7,'Vân tay'!$B$5:$B270=D7),1,14),"""")"),"")</f>
        <v/>
      </c>
      <c r="J7" s="138" t="str">
        <f>IFERROR(__xludf.DUMMYFUNCTION("IFERROR(INDEX(FILTER('Vân tay'!$A$5:$O270,'Vân tay'!$C$5:$C270=F7,'Vân tay'!$B$5:$B270=D7),1,15),"""")"),"")</f>
        <v/>
      </c>
      <c r="K7" s="196">
        <f t="shared" si="1"/>
        <v>0</v>
      </c>
      <c r="L7" s="196" t="str">
        <f t="shared" si="2"/>
        <v/>
      </c>
      <c r="M7" s="197" t="s">
        <v>42</v>
      </c>
      <c r="N7" s="198" t="str">
        <f t="shared" si="3"/>
        <v/>
      </c>
      <c r="O7" s="198"/>
      <c r="P7" s="198"/>
      <c r="Q7" s="198">
        <f t="shared" si="4"/>
        <v>0</v>
      </c>
      <c r="R7" s="198">
        <f t="shared" si="5"/>
        <v>0</v>
      </c>
      <c r="S7" s="199">
        <f t="shared" si="6"/>
        <v>0</v>
      </c>
      <c r="T7" s="198">
        <f t="shared" si="7"/>
        <v>0</v>
      </c>
      <c r="U7" s="198"/>
      <c r="V7" s="198"/>
      <c r="W7" s="198">
        <f t="shared" si="8"/>
        <v>0</v>
      </c>
      <c r="X7" s="200"/>
    </row>
    <row r="8">
      <c r="A8" s="135">
        <v>2.0</v>
      </c>
      <c r="B8" s="135" t="s">
        <v>194</v>
      </c>
      <c r="C8" s="135" t="s">
        <v>47</v>
      </c>
      <c r="D8" s="195">
        <v>44708.0</v>
      </c>
      <c r="E8" s="135" t="str">
        <f>IFERROR(VLOOKUP(C8,'Công T5'!$C$7:$F$89,4,0),"")</f>
        <v>BLĐ</v>
      </c>
      <c r="F8" s="137">
        <f>IFERROR(__xludf.DUMMYFUNCTION("INDEX(FILTER('Công T5'!$B$8:$C$89,'Công T5'!$C$8:$C$89=C8),1,1)"),10031.0)</f>
        <v>10031</v>
      </c>
      <c r="G8" s="138" t="str">
        <f>IFERROR(__xludf.DUMMYFUNCTION("IFERROR(INDEX(FILTER('Vân tay'!$A$5:$O270,'Vân tay'!$C$5:$C270=F8,'Vân tay'!$B$5:$B270=D8),1,10),"""")"),"")</f>
        <v/>
      </c>
      <c r="H8" s="138" t="str">
        <f>IFERROR(__xludf.DUMMYFUNCTION("IFERROR(INDEX(FILTER('Vân tay'!$A$5:$O270,'Vân tay'!$C$5:$C270=F8,'Vân tay'!$B$5:$B270=D8),1,11),"""")"),"")</f>
        <v/>
      </c>
      <c r="I8" s="138" t="str">
        <f>IFERROR(__xludf.DUMMYFUNCTION("IFERROR(INDEX(FILTER('Vân tay'!$A$5:$O270,'Vân tay'!$C$5:$C270=F8,'Vân tay'!$B$5:$B270=D8),1,14),"""")"),"")</f>
        <v/>
      </c>
      <c r="J8" s="138" t="str">
        <f>IFERROR(__xludf.DUMMYFUNCTION("IFERROR(INDEX(FILTER('Vân tay'!$A$5:$O270,'Vân tay'!$C$5:$C270=F8,'Vân tay'!$B$5:$B270=D8),1,15),"""")"),"")</f>
        <v/>
      </c>
      <c r="K8" s="196">
        <f t="shared" si="1"/>
        <v>0</v>
      </c>
      <c r="L8" s="196" t="str">
        <f t="shared" si="2"/>
        <v/>
      </c>
      <c r="M8" s="197" t="s">
        <v>42</v>
      </c>
      <c r="N8" s="198" t="str">
        <f t="shared" si="3"/>
        <v/>
      </c>
      <c r="O8" s="198"/>
      <c r="P8" s="198"/>
      <c r="Q8" s="198">
        <f t="shared" si="4"/>
        <v>0</v>
      </c>
      <c r="R8" s="198">
        <f t="shared" si="5"/>
        <v>0</v>
      </c>
      <c r="S8" s="199">
        <f t="shared" si="6"/>
        <v>0</v>
      </c>
      <c r="T8" s="198">
        <f t="shared" si="7"/>
        <v>0</v>
      </c>
      <c r="U8" s="198"/>
      <c r="V8" s="198"/>
      <c r="W8" s="198">
        <f t="shared" si="8"/>
        <v>0</v>
      </c>
      <c r="X8" s="200"/>
    </row>
    <row r="9">
      <c r="A9" s="135">
        <v>3.0</v>
      </c>
      <c r="B9" s="135" t="s">
        <v>194</v>
      </c>
      <c r="C9" s="135" t="s">
        <v>47</v>
      </c>
      <c r="D9" s="195">
        <v>44709.0</v>
      </c>
      <c r="E9" s="135" t="str">
        <f>IFERROR(VLOOKUP(C9,'Công T5'!$C$7:$F$89,4,0),"")</f>
        <v>BLĐ</v>
      </c>
      <c r="F9" s="137">
        <f>IFERROR(__xludf.DUMMYFUNCTION("INDEX(FILTER('Công T5'!$B$8:$C$89,'Công T5'!$C$8:$C$89=C9),1,1)"),10031.0)</f>
        <v>10031</v>
      </c>
      <c r="G9" s="138" t="str">
        <f>IFERROR(__xludf.DUMMYFUNCTION("IFERROR(INDEX(FILTER('Vân tay'!$A$5:$O270,'Vân tay'!$C$5:$C270=F9,'Vân tay'!$B$5:$B270=D9),1,10),"""")"),"")</f>
        <v/>
      </c>
      <c r="H9" s="138" t="str">
        <f>IFERROR(__xludf.DUMMYFUNCTION("IFERROR(INDEX(FILTER('Vân tay'!$A$5:$O270,'Vân tay'!$C$5:$C270=F9,'Vân tay'!$B$5:$B270=D9),1,11),"""")"),"")</f>
        <v/>
      </c>
      <c r="I9" s="138" t="str">
        <f>IFERROR(__xludf.DUMMYFUNCTION("IFERROR(INDEX(FILTER('Vân tay'!$A$5:$O270,'Vân tay'!$C$5:$C270=F9,'Vân tay'!$B$5:$B270=D9),1,14),"""")"),"")</f>
        <v/>
      </c>
      <c r="J9" s="138" t="str">
        <f>IFERROR(__xludf.DUMMYFUNCTION("IFERROR(INDEX(FILTER('Vân tay'!$A$5:$O270,'Vân tay'!$C$5:$C270=F9,'Vân tay'!$B$5:$B270=D9),1,15),"""")"),"")</f>
        <v/>
      </c>
      <c r="K9" s="196">
        <f t="shared" si="1"/>
        <v>0</v>
      </c>
      <c r="L9" s="196" t="str">
        <f t="shared" si="2"/>
        <v/>
      </c>
      <c r="M9" s="197" t="s">
        <v>42</v>
      </c>
      <c r="N9" s="198" t="str">
        <f t="shared" si="3"/>
        <v/>
      </c>
      <c r="O9" s="198"/>
      <c r="P9" s="198"/>
      <c r="Q9" s="198">
        <f t="shared" si="4"/>
        <v>1</v>
      </c>
      <c r="R9" s="198">
        <f t="shared" si="5"/>
        <v>0</v>
      </c>
      <c r="S9" s="199">
        <f t="shared" si="6"/>
        <v>0</v>
      </c>
      <c r="T9" s="198">
        <f t="shared" si="7"/>
        <v>0</v>
      </c>
      <c r="U9" s="198"/>
      <c r="V9" s="198"/>
      <c r="W9" s="198">
        <f t="shared" si="8"/>
        <v>0</v>
      </c>
      <c r="X9" s="200"/>
    </row>
    <row r="10">
      <c r="A10" s="135">
        <v>4.0</v>
      </c>
      <c r="B10" s="135" t="s">
        <v>194</v>
      </c>
      <c r="C10" s="135" t="s">
        <v>47</v>
      </c>
      <c r="D10" s="195">
        <v>44710.0</v>
      </c>
      <c r="E10" s="135" t="str">
        <f>IFERROR(VLOOKUP(C10,'Công T5'!$C$7:$F$89,4,0),"")</f>
        <v>BLĐ</v>
      </c>
      <c r="F10" s="137">
        <f>IFERROR(__xludf.DUMMYFUNCTION("INDEX(FILTER('Công T5'!$B$8:$C$89,'Công T5'!$C$8:$C$89=C10),1,1)"),10031.0)</f>
        <v>10031</v>
      </c>
      <c r="G10" s="138" t="str">
        <f>IFERROR(__xludf.DUMMYFUNCTION("IFERROR(INDEX(FILTER('Vân tay'!$A$5:$O270,'Vân tay'!$C$5:$C270=F10,'Vân tay'!$B$5:$B270=D10),1,10),"""")"),"")</f>
        <v/>
      </c>
      <c r="H10" s="138" t="str">
        <f>IFERROR(__xludf.DUMMYFUNCTION("IFERROR(INDEX(FILTER('Vân tay'!$A$5:$O270,'Vân tay'!$C$5:$C270=F10,'Vân tay'!$B$5:$B270=D10),1,11),"""")"),"")</f>
        <v/>
      </c>
      <c r="I10" s="138" t="str">
        <f>IFERROR(__xludf.DUMMYFUNCTION("IFERROR(INDEX(FILTER('Vân tay'!$A$5:$O270,'Vân tay'!$C$5:$C270=F10,'Vân tay'!$B$5:$B270=D10),1,14),"""")"),"")</f>
        <v/>
      </c>
      <c r="J10" s="138" t="str">
        <f>IFERROR(__xludf.DUMMYFUNCTION("IFERROR(INDEX(FILTER('Vân tay'!$A$5:$O270,'Vân tay'!$C$5:$C270=F10,'Vân tay'!$B$5:$B270=D10),1,15),"""")"),"")</f>
        <v/>
      </c>
      <c r="K10" s="196">
        <f t="shared" si="1"/>
        <v>0</v>
      </c>
      <c r="L10" s="196" t="str">
        <f t="shared" si="2"/>
        <v/>
      </c>
      <c r="M10" s="197" t="s">
        <v>42</v>
      </c>
      <c r="N10" s="198" t="str">
        <f t="shared" si="3"/>
        <v/>
      </c>
      <c r="O10" s="198"/>
      <c r="P10" s="198"/>
      <c r="Q10" s="198">
        <f t="shared" si="4"/>
        <v>1</v>
      </c>
      <c r="R10" s="198">
        <f t="shared" si="5"/>
        <v>0</v>
      </c>
      <c r="S10" s="199">
        <f t="shared" si="6"/>
        <v>0</v>
      </c>
      <c r="T10" s="198">
        <f t="shared" si="7"/>
        <v>0</v>
      </c>
      <c r="U10" s="198"/>
      <c r="V10" s="198"/>
      <c r="W10" s="198">
        <f t="shared" si="8"/>
        <v>0</v>
      </c>
      <c r="X10" s="200"/>
    </row>
    <row r="11">
      <c r="A11" s="135"/>
      <c r="B11" s="135" t="s">
        <v>302</v>
      </c>
      <c r="C11" s="135" t="s">
        <v>83</v>
      </c>
      <c r="D11" s="195">
        <v>44707.0</v>
      </c>
      <c r="E11" s="135" t="str">
        <f>IFERROR(VLOOKUP(C11,'Công T5'!$C$7:$F$89,4,0),"")</f>
        <v>NV</v>
      </c>
      <c r="F11" s="137">
        <f>IFERROR(__xludf.DUMMYFUNCTION("INDEX(FILTER('Công T5'!$B$8:$C$89,'Công T5'!$C$8:$C$89=C11),1,1)"),10403.0)</f>
        <v>10403</v>
      </c>
      <c r="G11" s="138" t="str">
        <f>IFERROR(__xludf.DUMMYFUNCTION("IFERROR(INDEX(FILTER('Vân tay'!$A$5:$O270,'Vân tay'!$C$5:$C270=F11,'Vân tay'!$B$5:$B270=D11),1,10),"""")"),"")</f>
        <v/>
      </c>
      <c r="H11" s="138" t="str">
        <f>IFERROR(__xludf.DUMMYFUNCTION("IFERROR(INDEX(FILTER('Vân tay'!$A$5:$O270,'Vân tay'!$C$5:$C270=F11,'Vân tay'!$B$5:$B270=D11),1,11),"""")"),"")</f>
        <v/>
      </c>
      <c r="I11" s="138" t="str">
        <f>IFERROR(__xludf.DUMMYFUNCTION("IFERROR(INDEX(FILTER('Vân tay'!$A$5:$O270,'Vân tay'!$C$5:$C270=F11,'Vân tay'!$B$5:$B270=D11),1,14),"""")"),"")</f>
        <v/>
      </c>
      <c r="J11" s="138" t="str">
        <f>IFERROR(__xludf.DUMMYFUNCTION("IFERROR(INDEX(FILTER('Vân tay'!$A$5:$O270,'Vân tay'!$C$5:$C270=F11,'Vân tay'!$B$5:$B270=D11),1,15),"""")"),"")</f>
        <v/>
      </c>
      <c r="K11" s="196">
        <f t="shared" si="1"/>
        <v>0</v>
      </c>
      <c r="L11" s="196" t="str">
        <f t="shared" si="2"/>
        <v/>
      </c>
      <c r="M11" s="197">
        <f t="shared" ref="M11:M270" si="9">if(B11="","",if(J11="",0.5,if(E11="NL",1,(K11+L11))))</f>
        <v>0.5</v>
      </c>
      <c r="N11" s="198" t="str">
        <f t="shared" si="3"/>
        <v/>
      </c>
      <c r="O11" s="198">
        <f t="shared" ref="O11:O270" si="10">if(B11&lt;&gt;"",if(OR(J11="",M11=""),1,0),"")</f>
        <v>1</v>
      </c>
      <c r="P11" s="198"/>
      <c r="Q11" s="198">
        <f t="shared" si="4"/>
        <v>0</v>
      </c>
      <c r="R11" s="198">
        <f t="shared" si="5"/>
        <v>0</v>
      </c>
      <c r="S11" s="199">
        <f t="shared" si="6"/>
        <v>0</v>
      </c>
      <c r="T11" s="198">
        <f t="shared" si="7"/>
        <v>0</v>
      </c>
      <c r="U11" s="198"/>
      <c r="V11" s="198"/>
      <c r="W11" s="198">
        <f t="shared" si="8"/>
        <v>0</v>
      </c>
      <c r="X11" s="200"/>
    </row>
    <row r="12">
      <c r="A12" s="135"/>
      <c r="B12" s="135" t="s">
        <v>303</v>
      </c>
      <c r="C12" s="135" t="s">
        <v>79</v>
      </c>
      <c r="D12" s="195">
        <v>44707.0</v>
      </c>
      <c r="E12" s="135" t="str">
        <f>IFERROR(VLOOKUP(C12,'Công T5'!$C$7:$F$89,4,0),"")</f>
        <v>NV</v>
      </c>
      <c r="F12" s="137">
        <f>IFERROR(__xludf.DUMMYFUNCTION("INDEX(FILTER('Công T5'!$B$8:$C$89,'Công T5'!$C$8:$C$89=C12),1,1)"),10080.0)</f>
        <v>10080</v>
      </c>
      <c r="G12" s="138" t="str">
        <f>IFERROR(__xludf.DUMMYFUNCTION("IFERROR(INDEX(FILTER('Vân tay'!$A$5:$O270,'Vân tay'!$C$5:$C270=F12,'Vân tay'!$B$5:$B270=D12),1,10),"""")"),"")</f>
        <v/>
      </c>
      <c r="H12" s="138" t="str">
        <f>IFERROR(__xludf.DUMMYFUNCTION("IFERROR(INDEX(FILTER('Vân tay'!$A$5:$O270,'Vân tay'!$C$5:$C270=F12,'Vân tay'!$B$5:$B270=D12),1,11),"""")"),"")</f>
        <v/>
      </c>
      <c r="I12" s="138" t="str">
        <f>IFERROR(__xludf.DUMMYFUNCTION("IFERROR(INDEX(FILTER('Vân tay'!$A$5:$O270,'Vân tay'!$C$5:$C270=F12,'Vân tay'!$B$5:$B270=D12),1,14),"""")"),"")</f>
        <v/>
      </c>
      <c r="J12" s="138" t="str">
        <f>IFERROR(__xludf.DUMMYFUNCTION("IFERROR(INDEX(FILTER('Vân tay'!$A$5:$O270,'Vân tay'!$C$5:$C270=F12,'Vân tay'!$B$5:$B270=D12),1,15),"""")"),"")</f>
        <v/>
      </c>
      <c r="K12" s="196">
        <f t="shared" si="1"/>
        <v>0</v>
      </c>
      <c r="L12" s="196" t="str">
        <f t="shared" si="2"/>
        <v/>
      </c>
      <c r="M12" s="197">
        <f t="shared" si="9"/>
        <v>0.5</v>
      </c>
      <c r="N12" s="198" t="str">
        <f t="shared" si="3"/>
        <v/>
      </c>
      <c r="O12" s="198">
        <f t="shared" si="10"/>
        <v>1</v>
      </c>
      <c r="P12" s="198"/>
      <c r="Q12" s="198">
        <f t="shared" si="4"/>
        <v>0</v>
      </c>
      <c r="R12" s="198">
        <f t="shared" si="5"/>
        <v>0</v>
      </c>
      <c r="S12" s="199">
        <f t="shared" si="6"/>
        <v>0</v>
      </c>
      <c r="T12" s="198">
        <f t="shared" si="7"/>
        <v>0</v>
      </c>
      <c r="U12" s="198"/>
      <c r="V12" s="198"/>
      <c r="W12" s="198">
        <f t="shared" si="8"/>
        <v>0</v>
      </c>
      <c r="X12" s="200"/>
    </row>
    <row r="13">
      <c r="A13" s="135"/>
      <c r="B13" s="201" t="s">
        <v>304</v>
      </c>
      <c r="C13" s="202" t="s">
        <v>82</v>
      </c>
      <c r="D13" s="203">
        <v>44709.0</v>
      </c>
      <c r="E13" s="135" t="str">
        <f>IFERROR(VLOOKUP(C13,'Công T5'!$C$7:$F$89,4,0),"")</f>
        <v>NV</v>
      </c>
      <c r="F13" s="137">
        <f>IFERROR(__xludf.DUMMYFUNCTION("INDEX(FILTER('Công T5'!$B$8:$C$89,'Công T5'!$C$8:$C$89=C13),1,1)"),10360.0)</f>
        <v>10360</v>
      </c>
      <c r="G13" s="138" t="str">
        <f>IFERROR(__xludf.DUMMYFUNCTION("IFERROR(INDEX(FILTER('Vân tay'!$A$5:$O270,'Vân tay'!$C$5:$C270=F13,'Vân tay'!$B$5:$B270=D13),1,10),"""")"),"")</f>
        <v/>
      </c>
      <c r="H13" s="138" t="str">
        <f>IFERROR(__xludf.DUMMYFUNCTION("IFERROR(INDEX(FILTER('Vân tay'!$A$5:$O270,'Vân tay'!$C$5:$C270=F13,'Vân tay'!$B$5:$B270=D13),1,11),"""")"),"")</f>
        <v/>
      </c>
      <c r="I13" s="138" t="str">
        <f>IFERROR(__xludf.DUMMYFUNCTION("IFERROR(INDEX(FILTER('Vân tay'!$A$5:$O270,'Vân tay'!$C$5:$C270=F13,'Vân tay'!$B$5:$B270=D13),1,14),"""")"),"")</f>
        <v/>
      </c>
      <c r="J13" s="138" t="str">
        <f>IFERROR(__xludf.DUMMYFUNCTION("IFERROR(INDEX(FILTER('Vân tay'!$A$5:$O270,'Vân tay'!$C$5:$C270=F13,'Vân tay'!$B$5:$B270=D13),1,15),"""")"),"")</f>
        <v/>
      </c>
      <c r="K13" s="196">
        <f t="shared" si="1"/>
        <v>0</v>
      </c>
      <c r="L13" s="196" t="str">
        <f t="shared" si="2"/>
        <v/>
      </c>
      <c r="M13" s="197">
        <f t="shared" si="9"/>
        <v>0.5</v>
      </c>
      <c r="N13" s="198" t="str">
        <f t="shared" si="3"/>
        <v/>
      </c>
      <c r="O13" s="198">
        <f t="shared" si="10"/>
        <v>1</v>
      </c>
      <c r="P13" s="198"/>
      <c r="Q13" s="198">
        <f t="shared" si="4"/>
        <v>0.5</v>
      </c>
      <c r="R13" s="198">
        <f t="shared" si="5"/>
        <v>0</v>
      </c>
      <c r="S13" s="199">
        <f t="shared" si="6"/>
        <v>0</v>
      </c>
      <c r="T13" s="198">
        <f t="shared" si="7"/>
        <v>0</v>
      </c>
      <c r="U13" s="198"/>
      <c r="V13" s="198"/>
      <c r="W13" s="198">
        <f t="shared" si="8"/>
        <v>0</v>
      </c>
      <c r="X13" s="200"/>
    </row>
    <row r="14">
      <c r="A14" s="135"/>
      <c r="B14" s="204" t="s">
        <v>305</v>
      </c>
      <c r="C14" s="204" t="s">
        <v>82</v>
      </c>
      <c r="D14" s="205">
        <v>44710.0</v>
      </c>
      <c r="E14" s="135" t="str">
        <f>IFERROR(VLOOKUP(C14,'Công T5'!$C$7:$F$89,4,0),"")</f>
        <v>NV</v>
      </c>
      <c r="F14" s="137">
        <f>IFERROR(__xludf.DUMMYFUNCTION("INDEX(FILTER('Công T5'!$B$8:$C$89,'Công T5'!$C$8:$C$89=C14),1,1)"),10360.0)</f>
        <v>10360</v>
      </c>
      <c r="G14" s="138" t="str">
        <f>IFERROR(__xludf.DUMMYFUNCTION("IFERROR(INDEX(FILTER('Vân tay'!$A$5:$O270,'Vân tay'!$C$5:$C270=F14,'Vân tay'!$B$5:$B270=D14),1,10),"""")"),"")</f>
        <v/>
      </c>
      <c r="H14" s="138" t="str">
        <f>IFERROR(__xludf.DUMMYFUNCTION("IFERROR(INDEX(FILTER('Vân tay'!$A$5:$O270,'Vân tay'!$C$5:$C270=F14,'Vân tay'!$B$5:$B270=D14),1,11),"""")"),"")</f>
        <v/>
      </c>
      <c r="I14" s="138" t="str">
        <f>IFERROR(__xludf.DUMMYFUNCTION("IFERROR(INDEX(FILTER('Vân tay'!$A$5:$O270,'Vân tay'!$C$5:$C270=F14,'Vân tay'!$B$5:$B270=D14),1,14),"""")"),"")</f>
        <v/>
      </c>
      <c r="J14" s="138" t="str">
        <f>IFERROR(__xludf.DUMMYFUNCTION("IFERROR(INDEX(FILTER('Vân tay'!$A$5:$O270,'Vân tay'!$C$5:$C270=F14,'Vân tay'!$B$5:$B270=D14),1,15),"""")"),"")</f>
        <v/>
      </c>
      <c r="K14" s="196">
        <f t="shared" si="1"/>
        <v>0</v>
      </c>
      <c r="L14" s="196" t="str">
        <f t="shared" si="2"/>
        <v/>
      </c>
      <c r="M14" s="197">
        <f t="shared" si="9"/>
        <v>0.5</v>
      </c>
      <c r="N14" s="198" t="str">
        <f t="shared" si="3"/>
        <v/>
      </c>
      <c r="O14" s="198">
        <f t="shared" si="10"/>
        <v>1</v>
      </c>
      <c r="P14" s="198"/>
      <c r="Q14" s="198">
        <f t="shared" si="4"/>
        <v>0.5</v>
      </c>
      <c r="R14" s="198">
        <f t="shared" si="5"/>
        <v>0</v>
      </c>
      <c r="S14" s="199">
        <f t="shared" si="6"/>
        <v>0</v>
      </c>
      <c r="T14" s="198">
        <f t="shared" si="7"/>
        <v>0</v>
      </c>
      <c r="U14" s="198"/>
      <c r="V14" s="198"/>
      <c r="W14" s="198">
        <f t="shared" si="8"/>
        <v>0</v>
      </c>
      <c r="X14" s="200"/>
    </row>
    <row r="15">
      <c r="A15" s="135"/>
      <c r="B15" s="206" t="s">
        <v>306</v>
      </c>
      <c r="C15" s="206" t="s">
        <v>84</v>
      </c>
      <c r="D15" s="207">
        <v>44711.0</v>
      </c>
      <c r="E15" s="135" t="str">
        <f>IFERROR(VLOOKUP(C15,'Công T5'!$C$7:$F$89,4,0),"")</f>
        <v>NV</v>
      </c>
      <c r="F15" s="137">
        <f>IFERROR(__xludf.DUMMYFUNCTION("INDEX(FILTER('Công T5'!$B$8:$C$89,'Công T5'!$C$8:$C$89=C15),1,1)"),10189.0)</f>
        <v>10189</v>
      </c>
      <c r="G15" s="138" t="str">
        <f>IFERROR(__xludf.DUMMYFUNCTION("IFERROR(INDEX(FILTER('Vân tay'!$A$5:$O270,'Vân tay'!$C$5:$C270=F15,'Vân tay'!$B$5:$B270=D15),1,10),"""")"),"")</f>
        <v/>
      </c>
      <c r="H15" s="138" t="str">
        <f>IFERROR(__xludf.DUMMYFUNCTION("IFERROR(INDEX(FILTER('Vân tay'!$A$5:$O270,'Vân tay'!$C$5:$C270=F15,'Vân tay'!$B$5:$B270=D15),1,11),"""")"),"")</f>
        <v/>
      </c>
      <c r="I15" s="138" t="str">
        <f>IFERROR(__xludf.DUMMYFUNCTION("IFERROR(INDEX(FILTER('Vân tay'!$A$5:$O270,'Vân tay'!$C$5:$C270=F15,'Vân tay'!$B$5:$B270=D15),1,14),"""")"),"")</f>
        <v/>
      </c>
      <c r="J15" s="138" t="str">
        <f>IFERROR(__xludf.DUMMYFUNCTION("IFERROR(INDEX(FILTER('Vân tay'!$A$5:$O270,'Vân tay'!$C$5:$C270=F15,'Vân tay'!$B$5:$B270=D15),1,15),"""")"),"")</f>
        <v/>
      </c>
      <c r="K15" s="196">
        <f t="shared" si="1"/>
        <v>0</v>
      </c>
      <c r="L15" s="196" t="str">
        <f t="shared" si="2"/>
        <v/>
      </c>
      <c r="M15" s="197">
        <f t="shared" si="9"/>
        <v>0.5</v>
      </c>
      <c r="N15" s="198" t="str">
        <f t="shared" si="3"/>
        <v/>
      </c>
      <c r="O15" s="198">
        <f t="shared" si="10"/>
        <v>1</v>
      </c>
      <c r="P15" s="198"/>
      <c r="Q15" s="198">
        <f t="shared" si="4"/>
        <v>0</v>
      </c>
      <c r="R15" s="198">
        <f t="shared" si="5"/>
        <v>0</v>
      </c>
      <c r="S15" s="199">
        <f t="shared" si="6"/>
        <v>0</v>
      </c>
      <c r="T15" s="198">
        <f t="shared" si="7"/>
        <v>0</v>
      </c>
      <c r="U15" s="198"/>
      <c r="V15" s="198"/>
      <c r="W15" s="198">
        <f t="shared" si="8"/>
        <v>0</v>
      </c>
      <c r="X15" s="200"/>
    </row>
    <row r="16">
      <c r="A16" s="135"/>
      <c r="B16" s="206" t="s">
        <v>307</v>
      </c>
      <c r="C16" s="206" t="s">
        <v>83</v>
      </c>
      <c r="D16" s="207">
        <v>44711.0</v>
      </c>
      <c r="E16" s="135" t="str">
        <f>IFERROR(VLOOKUP(C16,'Công T5'!$C$7:$F$89,4,0),"")</f>
        <v>NV</v>
      </c>
      <c r="F16" s="137">
        <f>IFERROR(__xludf.DUMMYFUNCTION("INDEX(FILTER('Công T5'!$B$8:$C$89,'Công T5'!$C$8:$C$89=C16),1,1)"),10403.0)</f>
        <v>10403</v>
      </c>
      <c r="G16" s="138" t="str">
        <f>IFERROR(__xludf.DUMMYFUNCTION("IFERROR(INDEX(FILTER('Vân tay'!$A$5:$O270,'Vân tay'!$C$5:$C270=F16,'Vân tay'!$B$5:$B270=D16),1,10),"""")"),"")</f>
        <v/>
      </c>
      <c r="H16" s="138" t="str">
        <f>IFERROR(__xludf.DUMMYFUNCTION("IFERROR(INDEX(FILTER('Vân tay'!$A$5:$O270,'Vân tay'!$C$5:$C270=F16,'Vân tay'!$B$5:$B270=D16),1,11),"""")"),"")</f>
        <v/>
      </c>
      <c r="I16" s="138" t="str">
        <f>IFERROR(__xludf.DUMMYFUNCTION("IFERROR(INDEX(FILTER('Vân tay'!$A$5:$O270,'Vân tay'!$C$5:$C270=F16,'Vân tay'!$B$5:$B270=D16),1,14),"""")"),"")</f>
        <v/>
      </c>
      <c r="J16" s="138" t="str">
        <f>IFERROR(__xludf.DUMMYFUNCTION("IFERROR(INDEX(FILTER('Vân tay'!$A$5:$O270,'Vân tay'!$C$5:$C270=F16,'Vân tay'!$B$5:$B270=D16),1,15),"""")"),"")</f>
        <v/>
      </c>
      <c r="K16" s="196">
        <f t="shared" si="1"/>
        <v>0</v>
      </c>
      <c r="L16" s="196" t="str">
        <f t="shared" si="2"/>
        <v/>
      </c>
      <c r="M16" s="197">
        <f t="shared" si="9"/>
        <v>0.5</v>
      </c>
      <c r="N16" s="198" t="str">
        <f t="shared" si="3"/>
        <v/>
      </c>
      <c r="O16" s="198">
        <f t="shared" si="10"/>
        <v>1</v>
      </c>
      <c r="P16" s="198"/>
      <c r="Q16" s="198">
        <f t="shared" si="4"/>
        <v>0</v>
      </c>
      <c r="R16" s="198">
        <f t="shared" si="5"/>
        <v>0</v>
      </c>
      <c r="S16" s="199">
        <f t="shared" si="6"/>
        <v>0</v>
      </c>
      <c r="T16" s="198">
        <f t="shared" si="7"/>
        <v>0</v>
      </c>
      <c r="U16" s="198"/>
      <c r="V16" s="198"/>
      <c r="W16" s="198">
        <f t="shared" si="8"/>
        <v>0</v>
      </c>
      <c r="X16" s="200"/>
    </row>
    <row r="17">
      <c r="A17" s="135"/>
      <c r="B17" s="135"/>
      <c r="C17" s="195"/>
      <c r="D17" s="195"/>
      <c r="E17" s="135" t="str">
        <f>IFERROR(VLOOKUP(C17,'Công T5'!$C$7:$F$89,4,0),"")</f>
        <v/>
      </c>
      <c r="F17" s="137" t="str">
        <f>IFERROR(__xludf.DUMMYFUNCTION("INDEX(FILTER('Công T5'!$B$8:$C$89,'Công T5'!$C$8:$C$89=C17),1,1)"),"")</f>
        <v/>
      </c>
      <c r="G17" s="138" t="str">
        <f>IFERROR(__xludf.DUMMYFUNCTION("IFERROR(INDEX(FILTER('Vân tay'!$A$5:$O270,'Vân tay'!$C$5:$C270=F17,'Vân tay'!$B$5:$B270=D17),1,10),"""")"),"")</f>
        <v/>
      </c>
      <c r="H17" s="138" t="str">
        <f>IFERROR(__xludf.DUMMYFUNCTION("IFERROR(INDEX(FILTER('Vân tay'!$A$5:$O270,'Vân tay'!$C$5:$C270=F17,'Vân tay'!$B$5:$B270=D17),1,11),"""")"),"")</f>
        <v/>
      </c>
      <c r="I17" s="138" t="str">
        <f>IFERROR(__xludf.DUMMYFUNCTION("IFERROR(INDEX(FILTER('Vân tay'!$A$5:$O270,'Vân tay'!$C$5:$C270=F17,'Vân tay'!$B$5:$B270=D17),1,14),"""")"),"")</f>
        <v/>
      </c>
      <c r="J17" s="138" t="str">
        <f>IFERROR(__xludf.DUMMYFUNCTION("IFERROR(INDEX(FILTER('Vân tay'!$A$5:$O270,'Vân tay'!$C$5:$C270=F17,'Vân tay'!$B$5:$B270=D17),1,15),"""")"),"")</f>
        <v/>
      </c>
      <c r="K17" s="196" t="str">
        <f t="shared" si="1"/>
        <v/>
      </c>
      <c r="L17" s="196" t="str">
        <f t="shared" si="2"/>
        <v/>
      </c>
      <c r="M17" s="197" t="str">
        <f t="shared" si="9"/>
        <v/>
      </c>
      <c r="N17" s="198" t="str">
        <f t="shared" si="3"/>
        <v/>
      </c>
      <c r="O17" s="198" t="str">
        <f t="shared" si="10"/>
        <v/>
      </c>
      <c r="P17" s="198"/>
      <c r="Q17" s="198">
        <f t="shared" si="4"/>
        <v>0</v>
      </c>
      <c r="R17" s="198">
        <f t="shared" si="5"/>
        <v>0</v>
      </c>
      <c r="S17" s="199">
        <f t="shared" si="6"/>
        <v>0</v>
      </c>
      <c r="T17" s="198">
        <f t="shared" si="7"/>
        <v>0</v>
      </c>
      <c r="U17" s="198"/>
      <c r="V17" s="198"/>
      <c r="W17" s="198">
        <f t="shared" si="8"/>
        <v>0</v>
      </c>
      <c r="X17" s="200"/>
    </row>
    <row r="18">
      <c r="A18" s="135"/>
      <c r="B18" s="135"/>
      <c r="C18" s="135"/>
      <c r="D18" s="195"/>
      <c r="E18" s="135" t="str">
        <f>IFERROR(VLOOKUP(C18,'Công T5'!$C$7:$F$89,4,0),"")</f>
        <v/>
      </c>
      <c r="F18" s="137" t="str">
        <f>IFERROR(__xludf.DUMMYFUNCTION("INDEX(FILTER('Công T5'!$B$8:$C$89,'Công T5'!$C$8:$C$89=C18),1,1)"),"")</f>
        <v/>
      </c>
      <c r="G18" s="138" t="str">
        <f>IFERROR(__xludf.DUMMYFUNCTION("IFERROR(INDEX(FILTER('Vân tay'!$A$5:$O270,'Vân tay'!$C$5:$C270=F18,'Vân tay'!$B$5:$B270=D18),1,10),"""")"),"")</f>
        <v/>
      </c>
      <c r="H18" s="138" t="str">
        <f>IFERROR(__xludf.DUMMYFUNCTION("IFERROR(INDEX(FILTER('Vân tay'!$A$5:$O270,'Vân tay'!$C$5:$C270=F18,'Vân tay'!$B$5:$B270=D18),1,11),"""")"),"")</f>
        <v/>
      </c>
      <c r="I18" s="138" t="str">
        <f>IFERROR(__xludf.DUMMYFUNCTION("IFERROR(INDEX(FILTER('Vân tay'!$A$5:$O270,'Vân tay'!$C$5:$C270=F18,'Vân tay'!$B$5:$B270=D18),1,14),"""")"),"")</f>
        <v/>
      </c>
      <c r="J18" s="138" t="str">
        <f>IFERROR(__xludf.DUMMYFUNCTION("IFERROR(INDEX(FILTER('Vân tay'!$A$5:$O270,'Vân tay'!$C$5:$C270=F18,'Vân tay'!$B$5:$B270=D18),1,15),"""")"),"")</f>
        <v/>
      </c>
      <c r="K18" s="196" t="str">
        <f t="shared" si="1"/>
        <v/>
      </c>
      <c r="L18" s="196" t="str">
        <f t="shared" si="2"/>
        <v/>
      </c>
      <c r="M18" s="197" t="str">
        <f t="shared" si="9"/>
        <v/>
      </c>
      <c r="N18" s="198" t="str">
        <f t="shared" si="3"/>
        <v/>
      </c>
      <c r="O18" s="198" t="str">
        <f t="shared" si="10"/>
        <v/>
      </c>
      <c r="P18" s="198"/>
      <c r="Q18" s="198">
        <f t="shared" si="4"/>
        <v>0</v>
      </c>
      <c r="R18" s="198">
        <f t="shared" si="5"/>
        <v>0</v>
      </c>
      <c r="S18" s="199">
        <f t="shared" si="6"/>
        <v>0</v>
      </c>
      <c r="T18" s="198">
        <f t="shared" si="7"/>
        <v>0</v>
      </c>
      <c r="U18" s="198"/>
      <c r="V18" s="198"/>
      <c r="W18" s="198">
        <f t="shared" si="8"/>
        <v>0</v>
      </c>
      <c r="X18" s="200"/>
    </row>
    <row r="19">
      <c r="A19" s="135"/>
      <c r="B19" s="135"/>
      <c r="C19" s="135"/>
      <c r="D19" s="195"/>
      <c r="E19" s="135" t="str">
        <f>IFERROR(VLOOKUP(C19,'Công T5'!$C$7:$F$89,4,0),"")</f>
        <v/>
      </c>
      <c r="F19" s="137" t="str">
        <f>IFERROR(__xludf.DUMMYFUNCTION("INDEX(FILTER('Công T5'!$B$8:$C$89,'Công T5'!$C$8:$C$89=C19),1,1)"),"")</f>
        <v/>
      </c>
      <c r="G19" s="138" t="str">
        <f>IFERROR(__xludf.DUMMYFUNCTION("IFERROR(INDEX(FILTER('Vân tay'!$A$5:$O270,'Vân tay'!$C$5:$C270=F19,'Vân tay'!$B$5:$B270=D19),1,10),"""")"),"")</f>
        <v/>
      </c>
      <c r="H19" s="138" t="str">
        <f>IFERROR(__xludf.DUMMYFUNCTION("IFERROR(INDEX(FILTER('Vân tay'!$A$5:$O270,'Vân tay'!$C$5:$C270=F19,'Vân tay'!$B$5:$B270=D19),1,11),"""")"),"")</f>
        <v/>
      </c>
      <c r="I19" s="138" t="str">
        <f>IFERROR(__xludf.DUMMYFUNCTION("IFERROR(INDEX(FILTER('Vân tay'!$A$5:$O270,'Vân tay'!$C$5:$C270=F19,'Vân tay'!$B$5:$B270=D19),1,14),"""")"),"")</f>
        <v/>
      </c>
      <c r="J19" s="138" t="str">
        <f>IFERROR(__xludf.DUMMYFUNCTION("IFERROR(INDEX(FILTER('Vân tay'!$A$5:$O270,'Vân tay'!$C$5:$C270=F19,'Vân tay'!$B$5:$B270=D19),1,15),"""")"),"")</f>
        <v/>
      </c>
      <c r="K19" s="196" t="str">
        <f t="shared" si="1"/>
        <v/>
      </c>
      <c r="L19" s="196" t="str">
        <f t="shared" si="2"/>
        <v/>
      </c>
      <c r="M19" s="197" t="str">
        <f t="shared" si="9"/>
        <v/>
      </c>
      <c r="N19" s="198" t="str">
        <f t="shared" si="3"/>
        <v/>
      </c>
      <c r="O19" s="198" t="str">
        <f t="shared" si="10"/>
        <v/>
      </c>
      <c r="P19" s="198"/>
      <c r="Q19" s="198">
        <f t="shared" si="4"/>
        <v>0</v>
      </c>
      <c r="R19" s="198">
        <f t="shared" si="5"/>
        <v>0</v>
      </c>
      <c r="S19" s="199">
        <f t="shared" si="6"/>
        <v>0</v>
      </c>
      <c r="T19" s="198">
        <f t="shared" si="7"/>
        <v>0</v>
      </c>
      <c r="U19" s="198"/>
      <c r="V19" s="198"/>
      <c r="W19" s="198">
        <f t="shared" si="8"/>
        <v>0</v>
      </c>
      <c r="X19" s="200"/>
    </row>
    <row r="20">
      <c r="A20" s="135"/>
      <c r="B20" s="135"/>
      <c r="C20" s="135"/>
      <c r="D20" s="195"/>
      <c r="E20" s="135" t="str">
        <f>IFERROR(VLOOKUP(C20,'Công T5'!$C$7:$F$89,4,0),"")</f>
        <v/>
      </c>
      <c r="F20" s="137" t="str">
        <f>IFERROR(__xludf.DUMMYFUNCTION("INDEX(FILTER('Công T5'!$B$8:$C$89,'Công T5'!$C$8:$C$89=C20),1,1)"),"")</f>
        <v/>
      </c>
      <c r="G20" s="138" t="str">
        <f>IFERROR(__xludf.DUMMYFUNCTION("IFERROR(INDEX(FILTER('Vân tay'!$A$5:$O270,'Vân tay'!$C$5:$C270=F20,'Vân tay'!$B$5:$B270=D20),1,10),"""")"),"")</f>
        <v/>
      </c>
      <c r="H20" s="138" t="str">
        <f>IFERROR(__xludf.DUMMYFUNCTION("IFERROR(INDEX(FILTER('Vân tay'!$A$5:$O270,'Vân tay'!$C$5:$C270=F20,'Vân tay'!$B$5:$B270=D20),1,11),"""")"),"")</f>
        <v/>
      </c>
      <c r="I20" s="138" t="str">
        <f>IFERROR(__xludf.DUMMYFUNCTION("IFERROR(INDEX(FILTER('Vân tay'!$A$5:$O270,'Vân tay'!$C$5:$C270=F20,'Vân tay'!$B$5:$B270=D20),1,14),"""")"),"")</f>
        <v/>
      </c>
      <c r="J20" s="138" t="str">
        <f>IFERROR(__xludf.DUMMYFUNCTION("IFERROR(INDEX(FILTER('Vân tay'!$A$5:$O270,'Vân tay'!$C$5:$C270=F20,'Vân tay'!$B$5:$B270=D20),1,15),"""")"),"")</f>
        <v/>
      </c>
      <c r="K20" s="196" t="str">
        <f t="shared" si="1"/>
        <v/>
      </c>
      <c r="L20" s="196" t="str">
        <f t="shared" si="2"/>
        <v/>
      </c>
      <c r="M20" s="197" t="str">
        <f t="shared" si="9"/>
        <v/>
      </c>
      <c r="N20" s="198" t="str">
        <f t="shared" si="3"/>
        <v/>
      </c>
      <c r="O20" s="198" t="str">
        <f t="shared" si="10"/>
        <v/>
      </c>
      <c r="P20" s="198"/>
      <c r="Q20" s="198">
        <f t="shared" si="4"/>
        <v>0</v>
      </c>
      <c r="R20" s="198">
        <f t="shared" si="5"/>
        <v>0</v>
      </c>
      <c r="S20" s="199">
        <f t="shared" si="6"/>
        <v>0</v>
      </c>
      <c r="T20" s="198">
        <f t="shared" si="7"/>
        <v>0</v>
      </c>
      <c r="U20" s="198"/>
      <c r="V20" s="198"/>
      <c r="W20" s="198">
        <f t="shared" si="8"/>
        <v>0</v>
      </c>
      <c r="X20" s="200"/>
    </row>
    <row r="21">
      <c r="A21" s="135"/>
      <c r="B21" s="135"/>
      <c r="C21" s="135"/>
      <c r="D21" s="195"/>
      <c r="E21" s="135" t="str">
        <f>IFERROR(VLOOKUP(C21,'Công T5'!$C$7:$F$89,4,0),"")</f>
        <v/>
      </c>
      <c r="F21" s="137" t="str">
        <f>IFERROR(__xludf.DUMMYFUNCTION("INDEX(FILTER('Công T5'!$B$8:$C$89,'Công T5'!$C$8:$C$89=C21),1,1)"),"")</f>
        <v/>
      </c>
      <c r="G21" s="138" t="str">
        <f>IFERROR(__xludf.DUMMYFUNCTION("IFERROR(INDEX(FILTER('Vân tay'!$A$5:$O270,'Vân tay'!$C$5:$C270=F21,'Vân tay'!$B$5:$B270=D21),1,10),"""")"),"")</f>
        <v/>
      </c>
      <c r="H21" s="138" t="str">
        <f>IFERROR(__xludf.DUMMYFUNCTION("IFERROR(INDEX(FILTER('Vân tay'!$A$5:$O270,'Vân tay'!$C$5:$C270=F21,'Vân tay'!$B$5:$B270=D21),1,11),"""")"),"")</f>
        <v/>
      </c>
      <c r="I21" s="138" t="str">
        <f>IFERROR(__xludf.DUMMYFUNCTION("IFERROR(INDEX(FILTER('Vân tay'!$A$5:$O270,'Vân tay'!$C$5:$C270=F21,'Vân tay'!$B$5:$B270=D21),1,14),"""")"),"")</f>
        <v/>
      </c>
      <c r="J21" s="138" t="str">
        <f>IFERROR(__xludf.DUMMYFUNCTION("IFERROR(INDEX(FILTER('Vân tay'!$A$5:$O270,'Vân tay'!$C$5:$C270=F21,'Vân tay'!$B$5:$B270=D21),1,15),"""")"),"")</f>
        <v/>
      </c>
      <c r="K21" s="196" t="str">
        <f t="shared" si="1"/>
        <v/>
      </c>
      <c r="L21" s="196" t="str">
        <f t="shared" si="2"/>
        <v/>
      </c>
      <c r="M21" s="197" t="str">
        <f t="shared" si="9"/>
        <v/>
      </c>
      <c r="N21" s="198" t="str">
        <f t="shared" si="3"/>
        <v/>
      </c>
      <c r="O21" s="198" t="str">
        <f t="shared" si="10"/>
        <v/>
      </c>
      <c r="P21" s="198"/>
      <c r="Q21" s="198">
        <f t="shared" si="4"/>
        <v>0</v>
      </c>
      <c r="R21" s="198">
        <f t="shared" si="5"/>
        <v>0</v>
      </c>
      <c r="S21" s="199">
        <f t="shared" si="6"/>
        <v>0</v>
      </c>
      <c r="T21" s="198">
        <f t="shared" si="7"/>
        <v>0</v>
      </c>
      <c r="U21" s="198"/>
      <c r="V21" s="198"/>
      <c r="W21" s="198">
        <f t="shared" si="8"/>
        <v>0</v>
      </c>
      <c r="X21" s="200"/>
    </row>
    <row r="22">
      <c r="A22" s="135"/>
      <c r="B22" s="135"/>
      <c r="C22" s="135"/>
      <c r="D22" s="195"/>
      <c r="E22" s="135" t="str">
        <f>IFERROR(VLOOKUP(C22,'Công T5'!$C$7:$F$89,4,0),"")</f>
        <v/>
      </c>
      <c r="F22" s="137" t="str">
        <f>IFERROR(__xludf.DUMMYFUNCTION("INDEX(FILTER('Công T5'!$B$8:$C$89,'Công T5'!$C$8:$C$89=C22),1,1)"),"")</f>
        <v/>
      </c>
      <c r="G22" s="138" t="str">
        <f>IFERROR(__xludf.DUMMYFUNCTION("IFERROR(INDEX(FILTER('Vân tay'!$A$5:$O270,'Vân tay'!$C$5:$C270=F22,'Vân tay'!$B$5:$B270=D22),1,10),"""")"),"")</f>
        <v/>
      </c>
      <c r="H22" s="138" t="str">
        <f>IFERROR(__xludf.DUMMYFUNCTION("IFERROR(INDEX(FILTER('Vân tay'!$A$5:$O270,'Vân tay'!$C$5:$C270=F22,'Vân tay'!$B$5:$B270=D22),1,11),"""")"),"")</f>
        <v/>
      </c>
      <c r="I22" s="138" t="str">
        <f>IFERROR(__xludf.DUMMYFUNCTION("IFERROR(INDEX(FILTER('Vân tay'!$A$5:$O270,'Vân tay'!$C$5:$C270=F22,'Vân tay'!$B$5:$B270=D22),1,14),"""")"),"")</f>
        <v/>
      </c>
      <c r="J22" s="138" t="str">
        <f>IFERROR(__xludf.DUMMYFUNCTION("IFERROR(INDEX(FILTER('Vân tay'!$A$5:$O270,'Vân tay'!$C$5:$C270=F22,'Vân tay'!$B$5:$B270=D22),1,15),"""")"),"")</f>
        <v/>
      </c>
      <c r="K22" s="196" t="str">
        <f t="shared" si="1"/>
        <v/>
      </c>
      <c r="L22" s="196" t="str">
        <f t="shared" si="2"/>
        <v/>
      </c>
      <c r="M22" s="197" t="str">
        <f t="shared" si="9"/>
        <v/>
      </c>
      <c r="N22" s="198" t="str">
        <f t="shared" si="3"/>
        <v/>
      </c>
      <c r="O22" s="198" t="str">
        <f t="shared" si="10"/>
        <v/>
      </c>
      <c r="P22" s="198"/>
      <c r="Q22" s="198">
        <f t="shared" si="4"/>
        <v>0</v>
      </c>
      <c r="R22" s="198">
        <f t="shared" si="5"/>
        <v>0</v>
      </c>
      <c r="S22" s="199">
        <f t="shared" si="6"/>
        <v>0</v>
      </c>
      <c r="T22" s="198">
        <f t="shared" si="7"/>
        <v>0</v>
      </c>
      <c r="U22" s="198"/>
      <c r="V22" s="198"/>
      <c r="W22" s="198">
        <f t="shared" si="8"/>
        <v>0</v>
      </c>
      <c r="X22" s="200"/>
    </row>
    <row r="23">
      <c r="A23" s="135"/>
      <c r="B23" s="135"/>
      <c r="C23" s="135"/>
      <c r="D23" s="195"/>
      <c r="E23" s="135" t="str">
        <f>IFERROR(VLOOKUP(C23,'Công T5'!$C$7:$F$89,4,0),"")</f>
        <v/>
      </c>
      <c r="F23" s="137" t="str">
        <f>IFERROR(__xludf.DUMMYFUNCTION("INDEX(FILTER('Công T5'!$B$8:$C$89,'Công T5'!$C$8:$C$89=C23),1,1)"),"")</f>
        <v/>
      </c>
      <c r="G23" s="138" t="str">
        <f>IFERROR(__xludf.DUMMYFUNCTION("IFERROR(INDEX(FILTER('Vân tay'!$A$5:$O270,'Vân tay'!$C$5:$C270=F23,'Vân tay'!$B$5:$B270=D23),1,10),"""")"),"")</f>
        <v/>
      </c>
      <c r="H23" s="138" t="str">
        <f>IFERROR(__xludf.DUMMYFUNCTION("IFERROR(INDEX(FILTER('Vân tay'!$A$5:$O270,'Vân tay'!$C$5:$C270=F23,'Vân tay'!$B$5:$B270=D23),1,11),"""")"),"")</f>
        <v/>
      </c>
      <c r="I23" s="138" t="str">
        <f>IFERROR(__xludf.DUMMYFUNCTION("IFERROR(INDEX(FILTER('Vân tay'!$A$5:$O270,'Vân tay'!$C$5:$C270=F23,'Vân tay'!$B$5:$B270=D23),1,14),"""")"),"")</f>
        <v/>
      </c>
      <c r="J23" s="138" t="str">
        <f>IFERROR(__xludf.DUMMYFUNCTION("IFERROR(INDEX(FILTER('Vân tay'!$A$5:$O270,'Vân tay'!$C$5:$C270=F23,'Vân tay'!$B$5:$B270=D23),1,15),"""")"),"")</f>
        <v/>
      </c>
      <c r="K23" s="196" t="str">
        <f t="shared" si="1"/>
        <v/>
      </c>
      <c r="L23" s="196" t="str">
        <f t="shared" si="2"/>
        <v/>
      </c>
      <c r="M23" s="197" t="str">
        <f t="shared" si="9"/>
        <v/>
      </c>
      <c r="N23" s="198" t="str">
        <f t="shared" si="3"/>
        <v/>
      </c>
      <c r="O23" s="198" t="str">
        <f t="shared" si="10"/>
        <v/>
      </c>
      <c r="P23" s="198"/>
      <c r="Q23" s="198">
        <f t="shared" si="4"/>
        <v>0</v>
      </c>
      <c r="R23" s="198">
        <f t="shared" si="5"/>
        <v>0</v>
      </c>
      <c r="S23" s="199">
        <f t="shared" si="6"/>
        <v>0</v>
      </c>
      <c r="T23" s="198">
        <f t="shared" si="7"/>
        <v>0</v>
      </c>
      <c r="U23" s="198"/>
      <c r="V23" s="198"/>
      <c r="W23" s="198">
        <f t="shared" si="8"/>
        <v>0</v>
      </c>
      <c r="X23" s="200"/>
    </row>
    <row r="24">
      <c r="A24" s="135"/>
      <c r="B24" s="135"/>
      <c r="C24" s="135"/>
      <c r="D24" s="195"/>
      <c r="E24" s="135" t="str">
        <f>IFERROR(VLOOKUP(C24,'Công T5'!$C$7:$F$89,4,0),"")</f>
        <v/>
      </c>
      <c r="F24" s="137" t="str">
        <f>IFERROR(__xludf.DUMMYFUNCTION("INDEX(FILTER('Công T5'!$B$8:$C$89,'Công T5'!$C$8:$C$89=C24),1,1)"),"")</f>
        <v/>
      </c>
      <c r="G24" s="138" t="str">
        <f>IFERROR(__xludf.DUMMYFUNCTION("IFERROR(INDEX(FILTER('Vân tay'!$A$5:$O270,'Vân tay'!$C$5:$C270=F24,'Vân tay'!$B$5:$B270=D24),1,10),"""")"),"")</f>
        <v/>
      </c>
      <c r="H24" s="138" t="str">
        <f>IFERROR(__xludf.DUMMYFUNCTION("IFERROR(INDEX(FILTER('Vân tay'!$A$5:$O270,'Vân tay'!$C$5:$C270=F24,'Vân tay'!$B$5:$B270=D24),1,11),"""")"),"")</f>
        <v/>
      </c>
      <c r="I24" s="138" t="str">
        <f>IFERROR(__xludf.DUMMYFUNCTION("IFERROR(INDEX(FILTER('Vân tay'!$A$5:$O270,'Vân tay'!$C$5:$C270=F24,'Vân tay'!$B$5:$B270=D24),1,14),"""")"),"")</f>
        <v/>
      </c>
      <c r="J24" s="138" t="str">
        <f>IFERROR(__xludf.DUMMYFUNCTION("IFERROR(INDEX(FILTER('Vân tay'!$A$5:$O270,'Vân tay'!$C$5:$C270=F24,'Vân tay'!$B$5:$B270=D24),1,15),"""")"),"")</f>
        <v/>
      </c>
      <c r="K24" s="196" t="str">
        <f t="shared" si="1"/>
        <v/>
      </c>
      <c r="L24" s="196" t="str">
        <f t="shared" si="2"/>
        <v/>
      </c>
      <c r="M24" s="197" t="str">
        <f t="shared" si="9"/>
        <v/>
      </c>
      <c r="N24" s="198" t="str">
        <f t="shared" si="3"/>
        <v/>
      </c>
      <c r="O24" s="198" t="str">
        <f t="shared" si="10"/>
        <v/>
      </c>
      <c r="P24" s="198"/>
      <c r="Q24" s="198">
        <f t="shared" si="4"/>
        <v>0</v>
      </c>
      <c r="R24" s="198">
        <f t="shared" si="5"/>
        <v>0</v>
      </c>
      <c r="S24" s="199">
        <f t="shared" si="6"/>
        <v>0</v>
      </c>
      <c r="T24" s="198">
        <f t="shared" si="7"/>
        <v>0</v>
      </c>
      <c r="U24" s="198"/>
      <c r="V24" s="198"/>
      <c r="W24" s="198">
        <f t="shared" si="8"/>
        <v>0</v>
      </c>
      <c r="X24" s="200"/>
    </row>
    <row r="25">
      <c r="A25" s="135"/>
      <c r="B25" s="135"/>
      <c r="C25" s="135"/>
      <c r="D25" s="195"/>
      <c r="E25" s="135" t="str">
        <f>IFERROR(VLOOKUP(C25,'Công T5'!$C$7:$F$89,4,0),"")</f>
        <v/>
      </c>
      <c r="F25" s="137" t="str">
        <f>IFERROR(__xludf.DUMMYFUNCTION("INDEX(FILTER('Công T5'!$B$8:$C$89,'Công T5'!$C$8:$C$89=C25),1,1)"),"")</f>
        <v/>
      </c>
      <c r="G25" s="138" t="str">
        <f>IFERROR(__xludf.DUMMYFUNCTION("IFERROR(INDEX(FILTER('Vân tay'!$A$5:$O270,'Vân tay'!$C$5:$C270=F25,'Vân tay'!$B$5:$B270=D25),1,10),"""")"),"")</f>
        <v/>
      </c>
      <c r="H25" s="138" t="str">
        <f>IFERROR(__xludf.DUMMYFUNCTION("IFERROR(INDEX(FILTER('Vân tay'!$A$5:$O270,'Vân tay'!$C$5:$C270=F25,'Vân tay'!$B$5:$B270=D25),1,11),"""")"),"")</f>
        <v/>
      </c>
      <c r="I25" s="138" t="str">
        <f>IFERROR(__xludf.DUMMYFUNCTION("IFERROR(INDEX(FILTER('Vân tay'!$A$5:$O270,'Vân tay'!$C$5:$C270=F25,'Vân tay'!$B$5:$B270=D25),1,14),"""")"),"")</f>
        <v/>
      </c>
      <c r="J25" s="138" t="str">
        <f>IFERROR(__xludf.DUMMYFUNCTION("IFERROR(INDEX(FILTER('Vân tay'!$A$5:$O270,'Vân tay'!$C$5:$C270=F25,'Vân tay'!$B$5:$B270=D25),1,15),"""")"),"")</f>
        <v/>
      </c>
      <c r="K25" s="196" t="str">
        <f t="shared" si="1"/>
        <v/>
      </c>
      <c r="L25" s="196" t="str">
        <f t="shared" si="2"/>
        <v/>
      </c>
      <c r="M25" s="197" t="str">
        <f t="shared" si="9"/>
        <v/>
      </c>
      <c r="N25" s="198" t="str">
        <f t="shared" si="3"/>
        <v/>
      </c>
      <c r="O25" s="198" t="str">
        <f t="shared" si="10"/>
        <v/>
      </c>
      <c r="P25" s="198"/>
      <c r="Q25" s="198">
        <f t="shared" si="4"/>
        <v>0</v>
      </c>
      <c r="R25" s="198">
        <f t="shared" si="5"/>
        <v>0</v>
      </c>
      <c r="S25" s="199">
        <f t="shared" si="6"/>
        <v>0</v>
      </c>
      <c r="T25" s="198">
        <f t="shared" si="7"/>
        <v>0</v>
      </c>
      <c r="U25" s="198"/>
      <c r="V25" s="198"/>
      <c r="W25" s="198">
        <f t="shared" si="8"/>
        <v>0</v>
      </c>
      <c r="X25" s="200"/>
    </row>
    <row r="26">
      <c r="A26" s="135"/>
      <c r="B26" s="135"/>
      <c r="C26" s="135"/>
      <c r="D26" s="195"/>
      <c r="E26" s="135" t="str">
        <f>IFERROR(VLOOKUP(C26,'Công T5'!$C$7:$F$89,4,0),"")</f>
        <v/>
      </c>
      <c r="F26" s="137" t="str">
        <f>IFERROR(__xludf.DUMMYFUNCTION("INDEX(FILTER('Công T5'!$B$8:$C$89,'Công T5'!$C$8:$C$89=C26),1,1)"),"")</f>
        <v/>
      </c>
      <c r="G26" s="138" t="str">
        <f>IFERROR(__xludf.DUMMYFUNCTION("IFERROR(INDEX(FILTER('Vân tay'!$A$5:$O270,'Vân tay'!$C$5:$C270=F26,'Vân tay'!$B$5:$B270=D26),1,10),"""")"),"")</f>
        <v/>
      </c>
      <c r="H26" s="138" t="str">
        <f>IFERROR(__xludf.DUMMYFUNCTION("IFERROR(INDEX(FILTER('Vân tay'!$A$5:$O270,'Vân tay'!$C$5:$C270=F26,'Vân tay'!$B$5:$B270=D26),1,11),"""")"),"")</f>
        <v/>
      </c>
      <c r="I26" s="138" t="str">
        <f>IFERROR(__xludf.DUMMYFUNCTION("IFERROR(INDEX(FILTER('Vân tay'!$A$5:$O270,'Vân tay'!$C$5:$C270=F26,'Vân tay'!$B$5:$B270=D26),1,14),"""")"),"")</f>
        <v/>
      </c>
      <c r="J26" s="138" t="str">
        <f>IFERROR(__xludf.DUMMYFUNCTION("IFERROR(INDEX(FILTER('Vân tay'!$A$5:$O270,'Vân tay'!$C$5:$C270=F26,'Vân tay'!$B$5:$B270=D26),1,15),"""")"),"")</f>
        <v/>
      </c>
      <c r="K26" s="196" t="str">
        <f t="shared" si="1"/>
        <v/>
      </c>
      <c r="L26" s="196" t="str">
        <f t="shared" si="2"/>
        <v/>
      </c>
      <c r="M26" s="197" t="str">
        <f t="shared" si="9"/>
        <v/>
      </c>
      <c r="N26" s="198" t="str">
        <f t="shared" si="3"/>
        <v/>
      </c>
      <c r="O26" s="198" t="str">
        <f t="shared" si="10"/>
        <v/>
      </c>
      <c r="P26" s="198"/>
      <c r="Q26" s="198">
        <f t="shared" si="4"/>
        <v>0</v>
      </c>
      <c r="R26" s="198">
        <f t="shared" si="5"/>
        <v>0</v>
      </c>
      <c r="S26" s="199">
        <f t="shared" si="6"/>
        <v>0</v>
      </c>
      <c r="T26" s="198">
        <f t="shared" si="7"/>
        <v>0</v>
      </c>
      <c r="U26" s="198"/>
      <c r="V26" s="198"/>
      <c r="W26" s="198">
        <f t="shared" si="8"/>
        <v>0</v>
      </c>
      <c r="X26" s="200"/>
    </row>
    <row r="27">
      <c r="A27" s="135"/>
      <c r="B27" s="135"/>
      <c r="C27" s="135"/>
      <c r="D27" s="195"/>
      <c r="E27" s="135" t="str">
        <f>IFERROR(VLOOKUP(C27,'Công T5'!$C$7:$F$89,4,0),"")</f>
        <v/>
      </c>
      <c r="F27" s="137" t="str">
        <f>IFERROR(__xludf.DUMMYFUNCTION("INDEX(FILTER('Công T5'!$B$8:$C$89,'Công T5'!$C$8:$C$89=C27),1,1)"),"")</f>
        <v/>
      </c>
      <c r="G27" s="138" t="str">
        <f>IFERROR(__xludf.DUMMYFUNCTION("IFERROR(INDEX(FILTER('Vân tay'!$A$5:$O270,'Vân tay'!$C$5:$C270=F27,'Vân tay'!$B$5:$B270=D27),1,10),"""")"),"")</f>
        <v/>
      </c>
      <c r="H27" s="138" t="str">
        <f>IFERROR(__xludf.DUMMYFUNCTION("IFERROR(INDEX(FILTER('Vân tay'!$A$5:$O270,'Vân tay'!$C$5:$C270=F27,'Vân tay'!$B$5:$B270=D27),1,11),"""")"),"")</f>
        <v/>
      </c>
      <c r="I27" s="138" t="str">
        <f>IFERROR(__xludf.DUMMYFUNCTION("IFERROR(INDEX(FILTER('Vân tay'!$A$5:$O270,'Vân tay'!$C$5:$C270=F27,'Vân tay'!$B$5:$B270=D27),1,14),"""")"),"")</f>
        <v/>
      </c>
      <c r="J27" s="138" t="str">
        <f>IFERROR(__xludf.DUMMYFUNCTION("IFERROR(INDEX(FILTER('Vân tay'!$A$5:$O270,'Vân tay'!$C$5:$C270=F27,'Vân tay'!$B$5:$B270=D27),1,15),"""")"),"")</f>
        <v/>
      </c>
      <c r="K27" s="196" t="str">
        <f t="shared" si="1"/>
        <v/>
      </c>
      <c r="L27" s="196" t="str">
        <f t="shared" si="2"/>
        <v/>
      </c>
      <c r="M27" s="197" t="str">
        <f t="shared" si="9"/>
        <v/>
      </c>
      <c r="N27" s="198" t="str">
        <f t="shared" si="3"/>
        <v/>
      </c>
      <c r="O27" s="198" t="str">
        <f t="shared" si="10"/>
        <v/>
      </c>
      <c r="P27" s="198"/>
      <c r="Q27" s="198">
        <f t="shared" si="4"/>
        <v>0</v>
      </c>
      <c r="R27" s="198">
        <f t="shared" si="5"/>
        <v>0</v>
      </c>
      <c r="S27" s="199">
        <f t="shared" si="6"/>
        <v>0</v>
      </c>
      <c r="T27" s="198">
        <f t="shared" si="7"/>
        <v>0</v>
      </c>
      <c r="U27" s="198"/>
      <c r="V27" s="198"/>
      <c r="W27" s="198">
        <f t="shared" si="8"/>
        <v>0</v>
      </c>
      <c r="X27" s="200"/>
    </row>
    <row r="28">
      <c r="A28" s="135"/>
      <c r="B28" s="135"/>
      <c r="C28" s="195"/>
      <c r="D28" s="195"/>
      <c r="E28" s="135" t="str">
        <f>IFERROR(VLOOKUP(C28,'Công T5'!$C$7:$F$89,4,0),"")</f>
        <v/>
      </c>
      <c r="F28" s="137" t="str">
        <f>IFERROR(__xludf.DUMMYFUNCTION("INDEX(FILTER('Công T5'!$B$8:$C$89,'Công T5'!$C$8:$C$89=C28),1,1)"),"")</f>
        <v/>
      </c>
      <c r="G28" s="138" t="str">
        <f>IFERROR(__xludf.DUMMYFUNCTION("IFERROR(INDEX(FILTER('Vân tay'!$A$5:$O270,'Vân tay'!$C$5:$C270=F28,'Vân tay'!$B$5:$B270=D28),1,10),"""")"),"")</f>
        <v/>
      </c>
      <c r="H28" s="138" t="str">
        <f>IFERROR(__xludf.DUMMYFUNCTION("IFERROR(INDEX(FILTER('Vân tay'!$A$5:$O270,'Vân tay'!$C$5:$C270=F28,'Vân tay'!$B$5:$B270=D28),1,11),"""")"),"")</f>
        <v/>
      </c>
      <c r="I28" s="138" t="str">
        <f>IFERROR(__xludf.DUMMYFUNCTION("IFERROR(INDEX(FILTER('Vân tay'!$A$5:$O270,'Vân tay'!$C$5:$C270=F28,'Vân tay'!$B$5:$B270=D28),1,14),"""")"),"")</f>
        <v/>
      </c>
      <c r="J28" s="138" t="str">
        <f>IFERROR(__xludf.DUMMYFUNCTION("IFERROR(INDEX(FILTER('Vân tay'!$A$5:$O270,'Vân tay'!$C$5:$C270=F28,'Vân tay'!$B$5:$B270=D28),1,15),"""")"),"")</f>
        <v/>
      </c>
      <c r="K28" s="196" t="str">
        <f t="shared" si="1"/>
        <v/>
      </c>
      <c r="L28" s="196" t="str">
        <f t="shared" si="2"/>
        <v/>
      </c>
      <c r="M28" s="197" t="str">
        <f t="shared" si="9"/>
        <v/>
      </c>
      <c r="N28" s="198" t="str">
        <f t="shared" si="3"/>
        <v/>
      </c>
      <c r="O28" s="198" t="str">
        <f t="shared" si="10"/>
        <v/>
      </c>
      <c r="P28" s="198"/>
      <c r="Q28" s="198">
        <f t="shared" si="4"/>
        <v>0</v>
      </c>
      <c r="R28" s="198">
        <f t="shared" si="5"/>
        <v>0</v>
      </c>
      <c r="S28" s="199">
        <f t="shared" si="6"/>
        <v>0</v>
      </c>
      <c r="T28" s="198">
        <f t="shared" si="7"/>
        <v>0</v>
      </c>
      <c r="U28" s="198"/>
      <c r="V28" s="198"/>
      <c r="W28" s="198">
        <f t="shared" si="8"/>
        <v>0</v>
      </c>
      <c r="X28" s="200"/>
    </row>
    <row r="29">
      <c r="A29" s="135"/>
      <c r="B29" s="135"/>
      <c r="C29" s="135"/>
      <c r="D29" s="195"/>
      <c r="E29" s="135" t="str">
        <f>IFERROR(VLOOKUP(C29,'Công T5'!$C$7:$F$89,4,0),"")</f>
        <v/>
      </c>
      <c r="F29" s="137" t="str">
        <f>IFERROR(__xludf.DUMMYFUNCTION("INDEX(FILTER('Công T5'!$B$8:$C$89,'Công T5'!$C$8:$C$89=C29),1,1)"),"")</f>
        <v/>
      </c>
      <c r="G29" s="138" t="str">
        <f>IFERROR(__xludf.DUMMYFUNCTION("IFERROR(INDEX(FILTER('Vân tay'!$A$5:$O270,'Vân tay'!$C$5:$C270=F29,'Vân tay'!$B$5:$B270=D29),1,10),"""")"),"")</f>
        <v/>
      </c>
      <c r="H29" s="138" t="str">
        <f>IFERROR(__xludf.DUMMYFUNCTION("IFERROR(INDEX(FILTER('Vân tay'!$A$5:$O270,'Vân tay'!$C$5:$C270=F29,'Vân tay'!$B$5:$B270=D29),1,11),"""")"),"")</f>
        <v/>
      </c>
      <c r="I29" s="138" t="str">
        <f>IFERROR(__xludf.DUMMYFUNCTION("IFERROR(INDEX(FILTER('Vân tay'!$A$5:$O270,'Vân tay'!$C$5:$C270=F29,'Vân tay'!$B$5:$B270=D29),1,14),"""")"),"")</f>
        <v/>
      </c>
      <c r="J29" s="138" t="str">
        <f>IFERROR(__xludf.DUMMYFUNCTION("IFERROR(INDEX(FILTER('Vân tay'!$A$5:$O270,'Vân tay'!$C$5:$C270=F29,'Vân tay'!$B$5:$B270=D29),1,15),"""")"),"")</f>
        <v/>
      </c>
      <c r="K29" s="196" t="str">
        <f t="shared" si="1"/>
        <v/>
      </c>
      <c r="L29" s="196" t="str">
        <f t="shared" si="2"/>
        <v/>
      </c>
      <c r="M29" s="197" t="str">
        <f t="shared" si="9"/>
        <v/>
      </c>
      <c r="N29" s="198" t="str">
        <f t="shared" si="3"/>
        <v/>
      </c>
      <c r="O29" s="198" t="str">
        <f t="shared" si="10"/>
        <v/>
      </c>
      <c r="P29" s="198"/>
      <c r="Q29" s="198">
        <f t="shared" si="4"/>
        <v>0</v>
      </c>
      <c r="R29" s="198">
        <f t="shared" si="5"/>
        <v>0</v>
      </c>
      <c r="S29" s="199">
        <f t="shared" si="6"/>
        <v>0</v>
      </c>
      <c r="T29" s="198">
        <f t="shared" si="7"/>
        <v>0</v>
      </c>
      <c r="U29" s="198"/>
      <c r="V29" s="198"/>
      <c r="W29" s="198">
        <f t="shared" si="8"/>
        <v>0</v>
      </c>
      <c r="X29" s="200"/>
    </row>
    <row r="30">
      <c r="A30" s="135"/>
      <c r="B30" s="135"/>
      <c r="C30" s="135"/>
      <c r="D30" s="195"/>
      <c r="E30" s="135" t="str">
        <f>IFERROR(VLOOKUP(C30,'Công T5'!$C$7:$F$89,4,0),"")</f>
        <v/>
      </c>
      <c r="F30" s="137" t="str">
        <f>IFERROR(__xludf.DUMMYFUNCTION("INDEX(FILTER('Công T5'!$B$8:$C$89,'Công T5'!$C$8:$C$89=C30),1,1)"),"")</f>
        <v/>
      </c>
      <c r="G30" s="138" t="str">
        <f>IFERROR(__xludf.DUMMYFUNCTION("IFERROR(INDEX(FILTER('Vân tay'!$A$5:$O270,'Vân tay'!$C$5:$C270=F30,'Vân tay'!$B$5:$B270=D30),1,10),"""")"),"")</f>
        <v/>
      </c>
      <c r="H30" s="138" t="str">
        <f>IFERROR(__xludf.DUMMYFUNCTION("IFERROR(INDEX(FILTER('Vân tay'!$A$5:$O270,'Vân tay'!$C$5:$C270=F30,'Vân tay'!$B$5:$B270=D30),1,11),"""")"),"")</f>
        <v/>
      </c>
      <c r="I30" s="138" t="str">
        <f>IFERROR(__xludf.DUMMYFUNCTION("IFERROR(INDEX(FILTER('Vân tay'!$A$5:$O270,'Vân tay'!$C$5:$C270=F30,'Vân tay'!$B$5:$B270=D30),1,14),"""")"),"")</f>
        <v/>
      </c>
      <c r="J30" s="138" t="str">
        <f>IFERROR(__xludf.DUMMYFUNCTION("IFERROR(INDEX(FILTER('Vân tay'!$A$5:$O270,'Vân tay'!$C$5:$C270=F30,'Vân tay'!$B$5:$B270=D30),1,15),"""")"),"")</f>
        <v/>
      </c>
      <c r="K30" s="196" t="str">
        <f t="shared" si="1"/>
        <v/>
      </c>
      <c r="L30" s="196" t="str">
        <f t="shared" si="2"/>
        <v/>
      </c>
      <c r="M30" s="197" t="str">
        <f t="shared" si="9"/>
        <v/>
      </c>
      <c r="N30" s="198" t="str">
        <f t="shared" si="3"/>
        <v/>
      </c>
      <c r="O30" s="198" t="str">
        <f t="shared" si="10"/>
        <v/>
      </c>
      <c r="P30" s="198"/>
      <c r="Q30" s="198">
        <f t="shared" si="4"/>
        <v>0</v>
      </c>
      <c r="R30" s="198">
        <f t="shared" si="5"/>
        <v>0</v>
      </c>
      <c r="S30" s="199">
        <f t="shared" si="6"/>
        <v>0</v>
      </c>
      <c r="T30" s="198">
        <f t="shared" si="7"/>
        <v>0</v>
      </c>
      <c r="U30" s="198"/>
      <c r="V30" s="198"/>
      <c r="W30" s="198">
        <f t="shared" si="8"/>
        <v>0</v>
      </c>
      <c r="X30" s="200"/>
    </row>
    <row r="31">
      <c r="A31" s="135"/>
      <c r="B31" s="135"/>
      <c r="C31" s="135"/>
      <c r="D31" s="195"/>
      <c r="E31" s="135" t="str">
        <f>IFERROR(VLOOKUP(C31,'Công T5'!$C$7:$F$89,4,0),"")</f>
        <v/>
      </c>
      <c r="F31" s="137" t="str">
        <f>IFERROR(__xludf.DUMMYFUNCTION("INDEX(FILTER('Công T5'!$B$8:$C$89,'Công T5'!$C$8:$C$89=C31),1,1)"),"")</f>
        <v/>
      </c>
      <c r="G31" s="138" t="str">
        <f>IFERROR(__xludf.DUMMYFUNCTION("IFERROR(INDEX(FILTER('Vân tay'!$A$5:$O270,'Vân tay'!$C$5:$C270=F31,'Vân tay'!$B$5:$B270=D31),1,10),"""")"),"")</f>
        <v/>
      </c>
      <c r="H31" s="138" t="str">
        <f>IFERROR(__xludf.DUMMYFUNCTION("IFERROR(INDEX(FILTER('Vân tay'!$A$5:$O270,'Vân tay'!$C$5:$C270=F31,'Vân tay'!$B$5:$B270=D31),1,11),"""")"),"")</f>
        <v/>
      </c>
      <c r="I31" s="138" t="str">
        <f>IFERROR(__xludf.DUMMYFUNCTION("IFERROR(INDEX(FILTER('Vân tay'!$A$5:$O270,'Vân tay'!$C$5:$C270=F31,'Vân tay'!$B$5:$B270=D31),1,14),"""")"),"")</f>
        <v/>
      </c>
      <c r="J31" s="138" t="str">
        <f>IFERROR(__xludf.DUMMYFUNCTION("IFERROR(INDEX(FILTER('Vân tay'!$A$5:$O270,'Vân tay'!$C$5:$C270=F31,'Vân tay'!$B$5:$B270=D31),1,15),"""")"),"")</f>
        <v/>
      </c>
      <c r="K31" s="196" t="str">
        <f t="shared" si="1"/>
        <v/>
      </c>
      <c r="L31" s="196" t="str">
        <f t="shared" si="2"/>
        <v/>
      </c>
      <c r="M31" s="197" t="str">
        <f t="shared" si="9"/>
        <v/>
      </c>
      <c r="N31" s="198" t="str">
        <f t="shared" si="3"/>
        <v/>
      </c>
      <c r="O31" s="198" t="str">
        <f t="shared" si="10"/>
        <v/>
      </c>
      <c r="P31" s="198"/>
      <c r="Q31" s="198">
        <f t="shared" si="4"/>
        <v>0</v>
      </c>
      <c r="R31" s="198">
        <f t="shared" si="5"/>
        <v>0</v>
      </c>
      <c r="S31" s="199">
        <f t="shared" si="6"/>
        <v>0</v>
      </c>
      <c r="T31" s="198">
        <f t="shared" si="7"/>
        <v>0</v>
      </c>
      <c r="U31" s="198"/>
      <c r="V31" s="198"/>
      <c r="W31" s="198">
        <f t="shared" si="8"/>
        <v>0</v>
      </c>
      <c r="X31" s="200"/>
    </row>
    <row r="32">
      <c r="A32" s="135"/>
      <c r="B32" s="135"/>
      <c r="C32" s="135"/>
      <c r="D32" s="195"/>
      <c r="E32" s="135" t="str">
        <f>IFERROR(VLOOKUP(C32,'Công T5'!$C$7:$F$89,4,0),"")</f>
        <v/>
      </c>
      <c r="F32" s="137" t="str">
        <f>IFERROR(__xludf.DUMMYFUNCTION("INDEX(FILTER('Công T5'!$B$8:$C$89,'Công T5'!$C$8:$C$89=C32),1,1)"),"")</f>
        <v/>
      </c>
      <c r="G32" s="138" t="str">
        <f>IFERROR(__xludf.DUMMYFUNCTION("IFERROR(INDEX(FILTER('Vân tay'!$A$5:$O270,'Vân tay'!$C$5:$C270=F32,'Vân tay'!$B$5:$B270=D32),1,10),"""")"),"")</f>
        <v/>
      </c>
      <c r="H32" s="138" t="str">
        <f>IFERROR(__xludf.DUMMYFUNCTION("IFERROR(INDEX(FILTER('Vân tay'!$A$5:$O270,'Vân tay'!$C$5:$C270=F32,'Vân tay'!$B$5:$B270=D32),1,11),"""")"),"")</f>
        <v/>
      </c>
      <c r="I32" s="138" t="str">
        <f>IFERROR(__xludf.DUMMYFUNCTION("IFERROR(INDEX(FILTER('Vân tay'!$A$5:$O270,'Vân tay'!$C$5:$C270=F32,'Vân tay'!$B$5:$B270=D32),1,14),"""")"),"")</f>
        <v/>
      </c>
      <c r="J32" s="138" t="str">
        <f>IFERROR(__xludf.DUMMYFUNCTION("IFERROR(INDEX(FILTER('Vân tay'!$A$5:$O270,'Vân tay'!$C$5:$C270=F32,'Vân tay'!$B$5:$B270=D32),1,15),"""")"),"")</f>
        <v/>
      </c>
      <c r="K32" s="196" t="str">
        <f t="shared" si="1"/>
        <v/>
      </c>
      <c r="L32" s="196" t="str">
        <f t="shared" si="2"/>
        <v/>
      </c>
      <c r="M32" s="197" t="str">
        <f t="shared" si="9"/>
        <v/>
      </c>
      <c r="N32" s="198" t="str">
        <f t="shared" si="3"/>
        <v/>
      </c>
      <c r="O32" s="198" t="str">
        <f t="shared" si="10"/>
        <v/>
      </c>
      <c r="P32" s="198"/>
      <c r="Q32" s="198">
        <f t="shared" si="4"/>
        <v>0</v>
      </c>
      <c r="R32" s="198">
        <f t="shared" si="5"/>
        <v>0</v>
      </c>
      <c r="S32" s="199">
        <f t="shared" si="6"/>
        <v>0</v>
      </c>
      <c r="T32" s="198">
        <f t="shared" si="7"/>
        <v>0</v>
      </c>
      <c r="U32" s="198"/>
      <c r="V32" s="198"/>
      <c r="W32" s="198">
        <f t="shared" si="8"/>
        <v>0</v>
      </c>
      <c r="X32" s="200"/>
    </row>
    <row r="33">
      <c r="A33" s="135"/>
      <c r="B33" s="135"/>
      <c r="C33" s="135"/>
      <c r="D33" s="195"/>
      <c r="E33" s="135" t="str">
        <f>IFERROR(VLOOKUP(C33,'Công T5'!$C$7:$F$89,4,0),"")</f>
        <v/>
      </c>
      <c r="F33" s="137" t="str">
        <f>IFERROR(__xludf.DUMMYFUNCTION("INDEX(FILTER('Công T5'!$B$8:$C$89,'Công T5'!$C$8:$C$89=C33),1,1)"),"")</f>
        <v/>
      </c>
      <c r="G33" s="138" t="str">
        <f>IFERROR(__xludf.DUMMYFUNCTION("IFERROR(INDEX(FILTER('Vân tay'!$A$5:$O270,'Vân tay'!$C$5:$C270=F33,'Vân tay'!$B$5:$B270=D33),1,10),"""")"),"")</f>
        <v/>
      </c>
      <c r="H33" s="138" t="str">
        <f>IFERROR(__xludf.DUMMYFUNCTION("IFERROR(INDEX(FILTER('Vân tay'!$A$5:$O270,'Vân tay'!$C$5:$C270=F33,'Vân tay'!$B$5:$B270=D33),1,11),"""")"),"")</f>
        <v/>
      </c>
      <c r="I33" s="138" t="str">
        <f>IFERROR(__xludf.DUMMYFUNCTION("IFERROR(INDEX(FILTER('Vân tay'!$A$5:$O270,'Vân tay'!$C$5:$C270=F33,'Vân tay'!$B$5:$B270=D33),1,14),"""")"),"")</f>
        <v/>
      </c>
      <c r="J33" s="138" t="str">
        <f>IFERROR(__xludf.DUMMYFUNCTION("IFERROR(INDEX(FILTER('Vân tay'!$A$5:$O270,'Vân tay'!$C$5:$C270=F33,'Vân tay'!$B$5:$B270=D33),1,15),"""")"),"")</f>
        <v/>
      </c>
      <c r="K33" s="196" t="str">
        <f t="shared" si="1"/>
        <v/>
      </c>
      <c r="L33" s="196" t="str">
        <f t="shared" si="2"/>
        <v/>
      </c>
      <c r="M33" s="197" t="str">
        <f t="shared" si="9"/>
        <v/>
      </c>
      <c r="N33" s="198" t="str">
        <f t="shared" si="3"/>
        <v/>
      </c>
      <c r="O33" s="198" t="str">
        <f t="shared" si="10"/>
        <v/>
      </c>
      <c r="P33" s="198"/>
      <c r="Q33" s="198">
        <f t="shared" si="4"/>
        <v>0</v>
      </c>
      <c r="R33" s="198">
        <f t="shared" si="5"/>
        <v>0</v>
      </c>
      <c r="S33" s="199">
        <f t="shared" si="6"/>
        <v>0</v>
      </c>
      <c r="T33" s="198">
        <f t="shared" si="7"/>
        <v>0</v>
      </c>
      <c r="U33" s="198"/>
      <c r="V33" s="198"/>
      <c r="W33" s="198">
        <f t="shared" si="8"/>
        <v>0</v>
      </c>
      <c r="X33" s="200"/>
    </row>
    <row r="34">
      <c r="A34" s="135"/>
      <c r="B34" s="135"/>
      <c r="C34" s="135"/>
      <c r="D34" s="195"/>
      <c r="E34" s="135" t="str">
        <f>IFERROR(VLOOKUP(C34,'Công T5'!$C$7:$F$89,4,0),"")</f>
        <v/>
      </c>
      <c r="F34" s="137" t="str">
        <f>IFERROR(__xludf.DUMMYFUNCTION("INDEX(FILTER('Công T5'!$B$8:$C$89,'Công T5'!$C$8:$C$89=C34),1,1)"),"")</f>
        <v/>
      </c>
      <c r="G34" s="138" t="str">
        <f>IFERROR(__xludf.DUMMYFUNCTION("IFERROR(INDEX(FILTER('Vân tay'!$A$5:$O270,'Vân tay'!$C$5:$C270=F34,'Vân tay'!$B$5:$B270=D34),1,10),"""")"),"")</f>
        <v/>
      </c>
      <c r="H34" s="138" t="str">
        <f>IFERROR(__xludf.DUMMYFUNCTION("IFERROR(INDEX(FILTER('Vân tay'!$A$5:$O270,'Vân tay'!$C$5:$C270=F34,'Vân tay'!$B$5:$B270=D34),1,11),"""")"),"")</f>
        <v/>
      </c>
      <c r="I34" s="138" t="str">
        <f>IFERROR(__xludf.DUMMYFUNCTION("IFERROR(INDEX(FILTER('Vân tay'!$A$5:$O270,'Vân tay'!$C$5:$C270=F34,'Vân tay'!$B$5:$B270=D34),1,14),"""")"),"")</f>
        <v/>
      </c>
      <c r="J34" s="138" t="str">
        <f>IFERROR(__xludf.DUMMYFUNCTION("IFERROR(INDEX(FILTER('Vân tay'!$A$5:$O270,'Vân tay'!$C$5:$C270=F34,'Vân tay'!$B$5:$B270=D34),1,15),"""")"),"")</f>
        <v/>
      </c>
      <c r="K34" s="196" t="str">
        <f t="shared" si="1"/>
        <v/>
      </c>
      <c r="L34" s="196" t="str">
        <f t="shared" si="2"/>
        <v/>
      </c>
      <c r="M34" s="197" t="str">
        <f t="shared" si="9"/>
        <v/>
      </c>
      <c r="N34" s="198" t="str">
        <f t="shared" si="3"/>
        <v/>
      </c>
      <c r="O34" s="198" t="str">
        <f t="shared" si="10"/>
        <v/>
      </c>
      <c r="P34" s="198"/>
      <c r="Q34" s="198">
        <f t="shared" si="4"/>
        <v>0</v>
      </c>
      <c r="R34" s="198">
        <f t="shared" si="5"/>
        <v>0</v>
      </c>
      <c r="S34" s="199">
        <f t="shared" si="6"/>
        <v>0</v>
      </c>
      <c r="T34" s="198">
        <f t="shared" si="7"/>
        <v>0</v>
      </c>
      <c r="U34" s="198"/>
      <c r="V34" s="198"/>
      <c r="W34" s="198">
        <f t="shared" si="8"/>
        <v>0</v>
      </c>
      <c r="X34" s="200"/>
    </row>
    <row r="35">
      <c r="A35" s="135"/>
      <c r="B35" s="135"/>
      <c r="C35" s="135"/>
      <c r="D35" s="195"/>
      <c r="E35" s="135" t="str">
        <f>IFERROR(VLOOKUP(C35,'Công T5'!$C$7:$F$89,4,0),"")</f>
        <v/>
      </c>
      <c r="F35" s="137" t="str">
        <f>IFERROR(__xludf.DUMMYFUNCTION("INDEX(FILTER('Công T5'!$B$8:$C$89,'Công T5'!$C$8:$C$89=C35),1,1)"),"")</f>
        <v/>
      </c>
      <c r="G35" s="138" t="str">
        <f>IFERROR(__xludf.DUMMYFUNCTION("IFERROR(INDEX(FILTER('Vân tay'!$A$5:$O270,'Vân tay'!$C$5:$C270=F35,'Vân tay'!$B$5:$B270=D35),1,10),"""")"),"")</f>
        <v/>
      </c>
      <c r="H35" s="138" t="str">
        <f>IFERROR(__xludf.DUMMYFUNCTION("IFERROR(INDEX(FILTER('Vân tay'!$A$5:$O270,'Vân tay'!$C$5:$C270=F35,'Vân tay'!$B$5:$B270=D35),1,11),"""")"),"")</f>
        <v/>
      </c>
      <c r="I35" s="138" t="str">
        <f>IFERROR(__xludf.DUMMYFUNCTION("IFERROR(INDEX(FILTER('Vân tay'!$A$5:$O270,'Vân tay'!$C$5:$C270=F35,'Vân tay'!$B$5:$B270=D35),1,14),"""")"),"")</f>
        <v/>
      </c>
      <c r="J35" s="138" t="str">
        <f>IFERROR(__xludf.DUMMYFUNCTION("IFERROR(INDEX(FILTER('Vân tay'!$A$5:$O270,'Vân tay'!$C$5:$C270=F35,'Vân tay'!$B$5:$B270=D35),1,15),"""")"),"")</f>
        <v/>
      </c>
      <c r="K35" s="196" t="str">
        <f t="shared" si="1"/>
        <v/>
      </c>
      <c r="L35" s="196" t="str">
        <f t="shared" si="2"/>
        <v/>
      </c>
      <c r="M35" s="197" t="str">
        <f t="shared" si="9"/>
        <v/>
      </c>
      <c r="N35" s="198" t="str">
        <f t="shared" si="3"/>
        <v/>
      </c>
      <c r="O35" s="198" t="str">
        <f t="shared" si="10"/>
        <v/>
      </c>
      <c r="P35" s="198"/>
      <c r="Q35" s="198">
        <f t="shared" si="4"/>
        <v>0</v>
      </c>
      <c r="R35" s="198">
        <f t="shared" si="5"/>
        <v>0</v>
      </c>
      <c r="S35" s="199">
        <f t="shared" si="6"/>
        <v>0</v>
      </c>
      <c r="T35" s="198">
        <f t="shared" si="7"/>
        <v>0</v>
      </c>
      <c r="U35" s="198"/>
      <c r="V35" s="198"/>
      <c r="W35" s="198">
        <f t="shared" si="8"/>
        <v>0</v>
      </c>
      <c r="X35" s="200"/>
    </row>
    <row r="36">
      <c r="A36" s="135"/>
      <c r="B36" s="135"/>
      <c r="C36" s="135"/>
      <c r="D36" s="195"/>
      <c r="E36" s="135" t="str">
        <f>IFERROR(VLOOKUP(C36,'Công T5'!$C$7:$F$89,4,0),"")</f>
        <v/>
      </c>
      <c r="F36" s="137" t="str">
        <f>IFERROR(__xludf.DUMMYFUNCTION("INDEX(FILTER('Công T5'!$B$8:$C$89,'Công T5'!$C$8:$C$89=C36),1,1)"),"")</f>
        <v/>
      </c>
      <c r="G36" s="138" t="str">
        <f>IFERROR(__xludf.DUMMYFUNCTION("IFERROR(INDEX(FILTER('Vân tay'!$A$5:$O270,'Vân tay'!$C$5:$C270=F36,'Vân tay'!$B$5:$B270=D36),1,10),"""")"),"")</f>
        <v/>
      </c>
      <c r="H36" s="138" t="str">
        <f>IFERROR(__xludf.DUMMYFUNCTION("IFERROR(INDEX(FILTER('Vân tay'!$A$5:$O270,'Vân tay'!$C$5:$C270=F36,'Vân tay'!$B$5:$B270=D36),1,11),"""")"),"")</f>
        <v/>
      </c>
      <c r="I36" s="138" t="str">
        <f>IFERROR(__xludf.DUMMYFUNCTION("IFERROR(INDEX(FILTER('Vân tay'!$A$5:$O270,'Vân tay'!$C$5:$C270=F36,'Vân tay'!$B$5:$B270=D36),1,14),"""")"),"")</f>
        <v/>
      </c>
      <c r="J36" s="138" t="str">
        <f>IFERROR(__xludf.DUMMYFUNCTION("IFERROR(INDEX(FILTER('Vân tay'!$A$5:$O270,'Vân tay'!$C$5:$C270=F36,'Vân tay'!$B$5:$B270=D36),1,15),"""")"),"")</f>
        <v/>
      </c>
      <c r="K36" s="196" t="str">
        <f t="shared" si="1"/>
        <v/>
      </c>
      <c r="L36" s="196" t="str">
        <f t="shared" si="2"/>
        <v/>
      </c>
      <c r="M36" s="197" t="str">
        <f t="shared" si="9"/>
        <v/>
      </c>
      <c r="N36" s="198" t="str">
        <f t="shared" si="3"/>
        <v/>
      </c>
      <c r="O36" s="198" t="str">
        <f t="shared" si="10"/>
        <v/>
      </c>
      <c r="P36" s="198"/>
      <c r="Q36" s="198">
        <f t="shared" si="4"/>
        <v>0</v>
      </c>
      <c r="R36" s="198">
        <f t="shared" si="5"/>
        <v>0</v>
      </c>
      <c r="S36" s="199">
        <f t="shared" si="6"/>
        <v>0</v>
      </c>
      <c r="T36" s="198">
        <f t="shared" si="7"/>
        <v>0</v>
      </c>
      <c r="U36" s="198"/>
      <c r="V36" s="198"/>
      <c r="W36" s="198">
        <f t="shared" si="8"/>
        <v>0</v>
      </c>
      <c r="X36" s="200"/>
    </row>
    <row r="37">
      <c r="A37" s="135"/>
      <c r="B37" s="135"/>
      <c r="C37" s="135"/>
      <c r="D37" s="195"/>
      <c r="E37" s="135" t="str">
        <f>IFERROR(VLOOKUP(C37,'Công T5'!$C$7:$F$89,4,0),"")</f>
        <v/>
      </c>
      <c r="F37" s="137" t="str">
        <f>IFERROR(__xludf.DUMMYFUNCTION("INDEX(FILTER('Công T5'!$B$8:$C$89,'Công T5'!$C$8:$C$89=C37),1,1)"),"")</f>
        <v/>
      </c>
      <c r="G37" s="138" t="str">
        <f>IFERROR(__xludf.DUMMYFUNCTION("IFERROR(INDEX(FILTER('Vân tay'!$A$5:$O270,'Vân tay'!$C$5:$C270=F37,'Vân tay'!$B$5:$B270=D37),1,10),"""")"),"")</f>
        <v/>
      </c>
      <c r="H37" s="138" t="str">
        <f>IFERROR(__xludf.DUMMYFUNCTION("IFERROR(INDEX(FILTER('Vân tay'!$A$5:$O270,'Vân tay'!$C$5:$C270=F37,'Vân tay'!$B$5:$B270=D37),1,11),"""")"),"")</f>
        <v/>
      </c>
      <c r="I37" s="138" t="str">
        <f>IFERROR(__xludf.DUMMYFUNCTION("IFERROR(INDEX(FILTER('Vân tay'!$A$5:$O270,'Vân tay'!$C$5:$C270=F37,'Vân tay'!$B$5:$B270=D37),1,14),"""")"),"")</f>
        <v/>
      </c>
      <c r="J37" s="138" t="str">
        <f>IFERROR(__xludf.DUMMYFUNCTION("IFERROR(INDEX(FILTER('Vân tay'!$A$5:$O270,'Vân tay'!$C$5:$C270=F37,'Vân tay'!$B$5:$B270=D37),1,15),"""")"),"")</f>
        <v/>
      </c>
      <c r="K37" s="196" t="str">
        <f t="shared" si="1"/>
        <v/>
      </c>
      <c r="L37" s="196" t="str">
        <f t="shared" si="2"/>
        <v/>
      </c>
      <c r="M37" s="197" t="str">
        <f t="shared" si="9"/>
        <v/>
      </c>
      <c r="N37" s="198" t="str">
        <f t="shared" si="3"/>
        <v/>
      </c>
      <c r="O37" s="198" t="str">
        <f t="shared" si="10"/>
        <v/>
      </c>
      <c r="P37" s="198"/>
      <c r="Q37" s="198">
        <f t="shared" si="4"/>
        <v>0</v>
      </c>
      <c r="R37" s="198">
        <f t="shared" si="5"/>
        <v>0</v>
      </c>
      <c r="S37" s="199">
        <f t="shared" si="6"/>
        <v>0</v>
      </c>
      <c r="T37" s="198">
        <f t="shared" si="7"/>
        <v>0</v>
      </c>
      <c r="U37" s="198"/>
      <c r="V37" s="198"/>
      <c r="W37" s="198">
        <f t="shared" si="8"/>
        <v>0</v>
      </c>
      <c r="X37" s="200"/>
    </row>
    <row r="38">
      <c r="A38" s="135"/>
      <c r="B38" s="135"/>
      <c r="C38" s="135"/>
      <c r="D38" s="195"/>
      <c r="E38" s="135" t="str">
        <f>IFERROR(VLOOKUP(C38,'Công T5'!$C$7:$F$89,4,0),"")</f>
        <v/>
      </c>
      <c r="F38" s="137" t="str">
        <f>IFERROR(__xludf.DUMMYFUNCTION("INDEX(FILTER('Công T5'!$B$8:$C$89,'Công T5'!$C$8:$C$89=C38),1,1)"),"")</f>
        <v/>
      </c>
      <c r="G38" s="138" t="str">
        <f>IFERROR(__xludf.DUMMYFUNCTION("IFERROR(INDEX(FILTER('Vân tay'!$A$5:$O270,'Vân tay'!$C$5:$C270=F38,'Vân tay'!$B$5:$B270=D38),1,10),"""")"),"")</f>
        <v/>
      </c>
      <c r="H38" s="138" t="str">
        <f>IFERROR(__xludf.DUMMYFUNCTION("IFERROR(INDEX(FILTER('Vân tay'!$A$5:$O270,'Vân tay'!$C$5:$C270=F38,'Vân tay'!$B$5:$B270=D38),1,11),"""")"),"")</f>
        <v/>
      </c>
      <c r="I38" s="138" t="str">
        <f>IFERROR(__xludf.DUMMYFUNCTION("IFERROR(INDEX(FILTER('Vân tay'!$A$5:$O270,'Vân tay'!$C$5:$C270=F38,'Vân tay'!$B$5:$B270=D38),1,14),"""")"),"")</f>
        <v/>
      </c>
      <c r="J38" s="138" t="str">
        <f>IFERROR(__xludf.DUMMYFUNCTION("IFERROR(INDEX(FILTER('Vân tay'!$A$5:$O270,'Vân tay'!$C$5:$C270=F38,'Vân tay'!$B$5:$B270=D38),1,15),"""")"),"")</f>
        <v/>
      </c>
      <c r="K38" s="196" t="str">
        <f t="shared" si="1"/>
        <v/>
      </c>
      <c r="L38" s="196" t="str">
        <f t="shared" si="2"/>
        <v/>
      </c>
      <c r="M38" s="197" t="str">
        <f t="shared" si="9"/>
        <v/>
      </c>
      <c r="N38" s="198" t="str">
        <f t="shared" si="3"/>
        <v/>
      </c>
      <c r="O38" s="198" t="str">
        <f t="shared" si="10"/>
        <v/>
      </c>
      <c r="P38" s="198"/>
      <c r="Q38" s="198">
        <f t="shared" si="4"/>
        <v>0</v>
      </c>
      <c r="R38" s="198">
        <f t="shared" si="5"/>
        <v>0</v>
      </c>
      <c r="S38" s="199">
        <f t="shared" si="6"/>
        <v>0</v>
      </c>
      <c r="T38" s="198">
        <f t="shared" si="7"/>
        <v>0</v>
      </c>
      <c r="U38" s="198"/>
      <c r="V38" s="198"/>
      <c r="W38" s="198">
        <f t="shared" si="8"/>
        <v>0</v>
      </c>
      <c r="X38" s="200"/>
    </row>
    <row r="39">
      <c r="A39" s="135"/>
      <c r="B39" s="135"/>
      <c r="C39" s="135"/>
      <c r="D39" s="195"/>
      <c r="E39" s="135" t="str">
        <f>IFERROR(VLOOKUP(C39,'Công T5'!$C$7:$F$89,4,0),"")</f>
        <v/>
      </c>
      <c r="F39" s="137" t="str">
        <f>IFERROR(__xludf.DUMMYFUNCTION("INDEX(FILTER('Công T5'!$B$8:$C$89,'Công T5'!$C$8:$C$89=C39),1,1)"),"")</f>
        <v/>
      </c>
      <c r="G39" s="138" t="str">
        <f>IFERROR(__xludf.DUMMYFUNCTION("IFERROR(INDEX(FILTER('Vân tay'!$A$5:$O270,'Vân tay'!$C$5:$C270=F39,'Vân tay'!$B$5:$B270=D39),1,10),"""")"),"")</f>
        <v/>
      </c>
      <c r="H39" s="138" t="str">
        <f>IFERROR(__xludf.DUMMYFUNCTION("IFERROR(INDEX(FILTER('Vân tay'!$A$5:$O270,'Vân tay'!$C$5:$C270=F39,'Vân tay'!$B$5:$B270=D39),1,11),"""")"),"")</f>
        <v/>
      </c>
      <c r="I39" s="138" t="str">
        <f>IFERROR(__xludf.DUMMYFUNCTION("IFERROR(INDEX(FILTER('Vân tay'!$A$5:$O270,'Vân tay'!$C$5:$C270=F39,'Vân tay'!$B$5:$B270=D39),1,14),"""")"),"")</f>
        <v/>
      </c>
      <c r="J39" s="138" t="str">
        <f>IFERROR(__xludf.DUMMYFUNCTION("IFERROR(INDEX(FILTER('Vân tay'!$A$5:$O270,'Vân tay'!$C$5:$C270=F39,'Vân tay'!$B$5:$B270=D39),1,15),"""")"),"")</f>
        <v/>
      </c>
      <c r="K39" s="196" t="str">
        <f t="shared" si="1"/>
        <v/>
      </c>
      <c r="L39" s="196" t="str">
        <f t="shared" si="2"/>
        <v/>
      </c>
      <c r="M39" s="197" t="str">
        <f t="shared" si="9"/>
        <v/>
      </c>
      <c r="N39" s="198" t="str">
        <f t="shared" si="3"/>
        <v/>
      </c>
      <c r="O39" s="198" t="str">
        <f t="shared" si="10"/>
        <v/>
      </c>
      <c r="P39" s="198"/>
      <c r="Q39" s="198">
        <f t="shared" si="4"/>
        <v>0</v>
      </c>
      <c r="R39" s="198">
        <f t="shared" si="5"/>
        <v>0</v>
      </c>
      <c r="S39" s="199">
        <f t="shared" si="6"/>
        <v>0</v>
      </c>
      <c r="T39" s="198">
        <f t="shared" si="7"/>
        <v>0</v>
      </c>
      <c r="U39" s="198"/>
      <c r="V39" s="198"/>
      <c r="W39" s="198">
        <f t="shared" si="8"/>
        <v>0</v>
      </c>
      <c r="X39" s="200"/>
    </row>
    <row r="40">
      <c r="A40" s="135"/>
      <c r="B40" s="135"/>
      <c r="C40" s="135"/>
      <c r="D40" s="195"/>
      <c r="E40" s="135" t="str">
        <f>IFERROR(VLOOKUP(C40,'Công T5'!$C$7:$F$89,4,0),"")</f>
        <v/>
      </c>
      <c r="F40" s="137" t="str">
        <f>IFERROR(__xludf.DUMMYFUNCTION("INDEX(FILTER('Công T5'!$B$8:$C$89,'Công T5'!$C$8:$C$89=C40),1,1)"),"")</f>
        <v/>
      </c>
      <c r="G40" s="138" t="str">
        <f>IFERROR(__xludf.DUMMYFUNCTION("IFERROR(INDEX(FILTER('Vân tay'!$A$5:$O270,'Vân tay'!$C$5:$C270=F40,'Vân tay'!$B$5:$B270=D40),1,10),"""")"),"")</f>
        <v/>
      </c>
      <c r="H40" s="138" t="str">
        <f>IFERROR(__xludf.DUMMYFUNCTION("IFERROR(INDEX(FILTER('Vân tay'!$A$5:$O270,'Vân tay'!$C$5:$C270=F40,'Vân tay'!$B$5:$B270=D40),1,11),"""")"),"")</f>
        <v/>
      </c>
      <c r="I40" s="138" t="str">
        <f>IFERROR(__xludf.DUMMYFUNCTION("IFERROR(INDEX(FILTER('Vân tay'!$A$5:$O270,'Vân tay'!$C$5:$C270=F40,'Vân tay'!$B$5:$B270=D40),1,14),"""")"),"")</f>
        <v/>
      </c>
      <c r="J40" s="138" t="str">
        <f>IFERROR(__xludf.DUMMYFUNCTION("IFERROR(INDEX(FILTER('Vân tay'!$A$5:$O270,'Vân tay'!$C$5:$C270=F40,'Vân tay'!$B$5:$B270=D40),1,15),"""")"),"")</f>
        <v/>
      </c>
      <c r="K40" s="196" t="str">
        <f t="shared" si="1"/>
        <v/>
      </c>
      <c r="L40" s="196" t="str">
        <f t="shared" si="2"/>
        <v/>
      </c>
      <c r="M40" s="197" t="str">
        <f t="shared" si="9"/>
        <v/>
      </c>
      <c r="N40" s="198" t="str">
        <f t="shared" si="3"/>
        <v/>
      </c>
      <c r="O40" s="198" t="str">
        <f t="shared" si="10"/>
        <v/>
      </c>
      <c r="P40" s="198"/>
      <c r="Q40" s="198">
        <f t="shared" si="4"/>
        <v>0</v>
      </c>
      <c r="R40" s="198">
        <f t="shared" si="5"/>
        <v>0</v>
      </c>
      <c r="S40" s="199">
        <f t="shared" si="6"/>
        <v>0</v>
      </c>
      <c r="T40" s="198">
        <f t="shared" si="7"/>
        <v>0</v>
      </c>
      <c r="U40" s="198"/>
      <c r="V40" s="198"/>
      <c r="W40" s="198">
        <f t="shared" si="8"/>
        <v>0</v>
      </c>
      <c r="X40" s="200"/>
    </row>
    <row r="41">
      <c r="A41" s="135"/>
      <c r="B41" s="135"/>
      <c r="C41" s="135"/>
      <c r="D41" s="195"/>
      <c r="E41" s="135" t="str">
        <f>IFERROR(VLOOKUP(C41,'Công T5'!$C$7:$F$89,4,0),"")</f>
        <v/>
      </c>
      <c r="F41" s="137" t="str">
        <f>IFERROR(__xludf.DUMMYFUNCTION("INDEX(FILTER('Công T5'!$B$8:$C$89,'Công T5'!$C$8:$C$89=C41),1,1)"),"")</f>
        <v/>
      </c>
      <c r="G41" s="138" t="str">
        <f>IFERROR(__xludf.DUMMYFUNCTION("IFERROR(INDEX(FILTER('Vân tay'!$A$5:$O270,'Vân tay'!$C$5:$C270=F41,'Vân tay'!$B$5:$B270=D41),1,10),"""")"),"")</f>
        <v/>
      </c>
      <c r="H41" s="138" t="str">
        <f>IFERROR(__xludf.DUMMYFUNCTION("IFERROR(INDEX(FILTER('Vân tay'!$A$5:$O270,'Vân tay'!$C$5:$C270=F41,'Vân tay'!$B$5:$B270=D41),1,11),"""")"),"")</f>
        <v/>
      </c>
      <c r="I41" s="138" t="str">
        <f>IFERROR(__xludf.DUMMYFUNCTION("IFERROR(INDEX(FILTER('Vân tay'!$A$5:$O270,'Vân tay'!$C$5:$C270=F41,'Vân tay'!$B$5:$B270=D41),1,14),"""")"),"")</f>
        <v/>
      </c>
      <c r="J41" s="138" t="str">
        <f>IFERROR(__xludf.DUMMYFUNCTION("IFERROR(INDEX(FILTER('Vân tay'!$A$5:$O270,'Vân tay'!$C$5:$C270=F41,'Vân tay'!$B$5:$B270=D41),1,15),"""")"),"")</f>
        <v/>
      </c>
      <c r="K41" s="196" t="str">
        <f t="shared" si="1"/>
        <v/>
      </c>
      <c r="L41" s="196" t="str">
        <f t="shared" si="2"/>
        <v/>
      </c>
      <c r="M41" s="197" t="str">
        <f t="shared" si="9"/>
        <v/>
      </c>
      <c r="N41" s="198" t="str">
        <f t="shared" si="3"/>
        <v/>
      </c>
      <c r="O41" s="198" t="str">
        <f t="shared" si="10"/>
        <v/>
      </c>
      <c r="P41" s="198"/>
      <c r="Q41" s="198">
        <f t="shared" si="4"/>
        <v>0</v>
      </c>
      <c r="R41" s="198">
        <f t="shared" si="5"/>
        <v>0</v>
      </c>
      <c r="S41" s="199">
        <f t="shared" si="6"/>
        <v>0</v>
      </c>
      <c r="T41" s="198">
        <f t="shared" si="7"/>
        <v>0</v>
      </c>
      <c r="U41" s="198"/>
      <c r="V41" s="198"/>
      <c r="W41" s="198">
        <f t="shared" si="8"/>
        <v>0</v>
      </c>
      <c r="X41" s="200"/>
    </row>
    <row r="42">
      <c r="A42" s="135"/>
      <c r="B42" s="135"/>
      <c r="C42" s="135"/>
      <c r="D42" s="195"/>
      <c r="E42" s="135" t="str">
        <f>IFERROR(VLOOKUP(C42,'Công T5'!$C$7:$F$89,4,0),"")</f>
        <v/>
      </c>
      <c r="F42" s="137" t="str">
        <f>IFERROR(__xludf.DUMMYFUNCTION("INDEX(FILTER('Công T5'!$B$8:$C$89,'Công T5'!$C$8:$C$89=C42),1,1)"),"")</f>
        <v/>
      </c>
      <c r="G42" s="138" t="str">
        <f>IFERROR(__xludf.DUMMYFUNCTION("IFERROR(INDEX(FILTER('Vân tay'!$A$5:$O270,'Vân tay'!$C$5:$C270=F42,'Vân tay'!$B$5:$B270=D42),1,10),"""")"),"")</f>
        <v/>
      </c>
      <c r="H42" s="138" t="str">
        <f>IFERROR(__xludf.DUMMYFUNCTION("IFERROR(INDEX(FILTER('Vân tay'!$A$5:$O270,'Vân tay'!$C$5:$C270=F42,'Vân tay'!$B$5:$B270=D42),1,11),"""")"),"")</f>
        <v/>
      </c>
      <c r="I42" s="138" t="str">
        <f>IFERROR(__xludf.DUMMYFUNCTION("IFERROR(INDEX(FILTER('Vân tay'!$A$5:$O270,'Vân tay'!$C$5:$C270=F42,'Vân tay'!$B$5:$B270=D42),1,14),"""")"),"")</f>
        <v/>
      </c>
      <c r="J42" s="138" t="str">
        <f>IFERROR(__xludf.DUMMYFUNCTION("IFERROR(INDEX(FILTER('Vân tay'!$A$5:$O270,'Vân tay'!$C$5:$C270=F42,'Vân tay'!$B$5:$B270=D42),1,15),"""")"),"")</f>
        <v/>
      </c>
      <c r="K42" s="196" t="str">
        <f t="shared" si="1"/>
        <v/>
      </c>
      <c r="L42" s="196" t="str">
        <f t="shared" si="2"/>
        <v/>
      </c>
      <c r="M42" s="197" t="str">
        <f t="shared" si="9"/>
        <v/>
      </c>
      <c r="N42" s="198" t="str">
        <f t="shared" si="3"/>
        <v/>
      </c>
      <c r="O42" s="198" t="str">
        <f t="shared" si="10"/>
        <v/>
      </c>
      <c r="P42" s="198"/>
      <c r="Q42" s="198">
        <f t="shared" si="4"/>
        <v>0</v>
      </c>
      <c r="R42" s="198">
        <f t="shared" si="5"/>
        <v>0</v>
      </c>
      <c r="S42" s="199">
        <f t="shared" si="6"/>
        <v>0</v>
      </c>
      <c r="T42" s="198">
        <f t="shared" si="7"/>
        <v>0</v>
      </c>
      <c r="U42" s="198"/>
      <c r="V42" s="198"/>
      <c r="W42" s="198">
        <f t="shared" si="8"/>
        <v>0</v>
      </c>
      <c r="X42" s="200"/>
    </row>
    <row r="43">
      <c r="A43" s="135"/>
      <c r="B43" s="135"/>
      <c r="C43" s="135"/>
      <c r="D43" s="195"/>
      <c r="E43" s="135" t="str">
        <f>IFERROR(VLOOKUP(C43,'Công T5'!$C$7:$F$89,4,0),"")</f>
        <v/>
      </c>
      <c r="F43" s="137" t="str">
        <f>IFERROR(__xludf.DUMMYFUNCTION("INDEX(FILTER('Công T5'!$B$8:$C$89,'Công T5'!$C$8:$C$89=C43),1,1)"),"")</f>
        <v/>
      </c>
      <c r="G43" s="138" t="str">
        <f>IFERROR(__xludf.DUMMYFUNCTION("IFERROR(INDEX(FILTER('Vân tay'!$A$5:$O270,'Vân tay'!$C$5:$C270=F43,'Vân tay'!$B$5:$B270=D43),1,10),"""")"),"")</f>
        <v/>
      </c>
      <c r="H43" s="138" t="str">
        <f>IFERROR(__xludf.DUMMYFUNCTION("IFERROR(INDEX(FILTER('Vân tay'!$A$5:$O270,'Vân tay'!$C$5:$C270=F43,'Vân tay'!$B$5:$B270=D43),1,11),"""")"),"")</f>
        <v/>
      </c>
      <c r="I43" s="138" t="str">
        <f>IFERROR(__xludf.DUMMYFUNCTION("IFERROR(INDEX(FILTER('Vân tay'!$A$5:$O270,'Vân tay'!$C$5:$C270=F43,'Vân tay'!$B$5:$B270=D43),1,14),"""")"),"")</f>
        <v/>
      </c>
      <c r="J43" s="138" t="str">
        <f>IFERROR(__xludf.DUMMYFUNCTION("IFERROR(INDEX(FILTER('Vân tay'!$A$5:$O270,'Vân tay'!$C$5:$C270=F43,'Vân tay'!$B$5:$B270=D43),1,15),"""")"),"")</f>
        <v/>
      </c>
      <c r="K43" s="196" t="str">
        <f t="shared" si="1"/>
        <v/>
      </c>
      <c r="L43" s="196" t="str">
        <f t="shared" si="2"/>
        <v/>
      </c>
      <c r="M43" s="197" t="str">
        <f t="shared" si="9"/>
        <v/>
      </c>
      <c r="N43" s="198" t="str">
        <f t="shared" si="3"/>
        <v/>
      </c>
      <c r="O43" s="198" t="str">
        <f t="shared" si="10"/>
        <v/>
      </c>
      <c r="P43" s="198"/>
      <c r="Q43" s="198">
        <f t="shared" si="4"/>
        <v>0</v>
      </c>
      <c r="R43" s="198">
        <f t="shared" si="5"/>
        <v>0</v>
      </c>
      <c r="S43" s="199">
        <f t="shared" si="6"/>
        <v>0</v>
      </c>
      <c r="T43" s="198">
        <f t="shared" si="7"/>
        <v>0</v>
      </c>
      <c r="U43" s="198"/>
      <c r="V43" s="198"/>
      <c r="W43" s="198">
        <f t="shared" si="8"/>
        <v>0</v>
      </c>
      <c r="X43" s="200"/>
    </row>
    <row r="44">
      <c r="A44" s="135"/>
      <c r="B44" s="135"/>
      <c r="C44" s="135"/>
      <c r="D44" s="195"/>
      <c r="E44" s="135" t="str">
        <f>IFERROR(VLOOKUP(C44,'Công T5'!$C$7:$F$89,4,0),"")</f>
        <v/>
      </c>
      <c r="F44" s="137" t="str">
        <f>IFERROR(__xludf.DUMMYFUNCTION("INDEX(FILTER('Công T5'!$B$8:$C$89,'Công T5'!$C$8:$C$89=C44),1,1)"),"")</f>
        <v/>
      </c>
      <c r="G44" s="138" t="str">
        <f>IFERROR(__xludf.DUMMYFUNCTION("IFERROR(INDEX(FILTER('Vân tay'!$A$5:$O270,'Vân tay'!$C$5:$C270=F44,'Vân tay'!$B$5:$B270=D44),1,10),"""")"),"")</f>
        <v/>
      </c>
      <c r="H44" s="138" t="str">
        <f>IFERROR(__xludf.DUMMYFUNCTION("IFERROR(INDEX(FILTER('Vân tay'!$A$5:$O270,'Vân tay'!$C$5:$C270=F44,'Vân tay'!$B$5:$B270=D44),1,11),"""")"),"")</f>
        <v/>
      </c>
      <c r="I44" s="138" t="str">
        <f>IFERROR(__xludf.DUMMYFUNCTION("IFERROR(INDEX(FILTER('Vân tay'!$A$5:$O270,'Vân tay'!$C$5:$C270=F44,'Vân tay'!$B$5:$B270=D44),1,14),"""")"),"")</f>
        <v/>
      </c>
      <c r="J44" s="138" t="str">
        <f>IFERROR(__xludf.DUMMYFUNCTION("IFERROR(INDEX(FILTER('Vân tay'!$A$5:$O270,'Vân tay'!$C$5:$C270=F44,'Vân tay'!$B$5:$B270=D44),1,15),"""")"),"")</f>
        <v/>
      </c>
      <c r="K44" s="196" t="str">
        <f t="shared" si="1"/>
        <v/>
      </c>
      <c r="L44" s="196" t="str">
        <f t="shared" si="2"/>
        <v/>
      </c>
      <c r="M44" s="197" t="str">
        <f t="shared" si="9"/>
        <v/>
      </c>
      <c r="N44" s="198" t="str">
        <f t="shared" si="3"/>
        <v/>
      </c>
      <c r="O44" s="198" t="str">
        <f t="shared" si="10"/>
        <v/>
      </c>
      <c r="P44" s="198"/>
      <c r="Q44" s="198">
        <f t="shared" si="4"/>
        <v>0</v>
      </c>
      <c r="R44" s="198">
        <f t="shared" si="5"/>
        <v>0</v>
      </c>
      <c r="S44" s="199">
        <f t="shared" si="6"/>
        <v>0</v>
      </c>
      <c r="T44" s="198">
        <f t="shared" si="7"/>
        <v>0</v>
      </c>
      <c r="U44" s="198"/>
      <c r="V44" s="198"/>
      <c r="W44" s="198">
        <f t="shared" si="8"/>
        <v>0</v>
      </c>
      <c r="X44" s="200"/>
    </row>
    <row r="45">
      <c r="A45" s="135"/>
      <c r="B45" s="135"/>
      <c r="C45" s="135"/>
      <c r="D45" s="195"/>
      <c r="E45" s="135" t="str">
        <f>IFERROR(VLOOKUP(C45,'Công T5'!$C$7:$F$89,4,0),"")</f>
        <v/>
      </c>
      <c r="F45" s="137" t="str">
        <f>IFERROR(__xludf.DUMMYFUNCTION("INDEX(FILTER('Công T5'!$B$8:$C$89,'Công T5'!$C$8:$C$89=C45),1,1)"),"")</f>
        <v/>
      </c>
      <c r="G45" s="138" t="str">
        <f>IFERROR(__xludf.DUMMYFUNCTION("IFERROR(INDEX(FILTER('Vân tay'!$A$5:$O270,'Vân tay'!$C$5:$C270=F45,'Vân tay'!$B$5:$B270=D45),1,10),"""")"),"")</f>
        <v/>
      </c>
      <c r="H45" s="138" t="str">
        <f>IFERROR(__xludf.DUMMYFUNCTION("IFERROR(INDEX(FILTER('Vân tay'!$A$5:$O270,'Vân tay'!$C$5:$C270=F45,'Vân tay'!$B$5:$B270=D45),1,11),"""")"),"")</f>
        <v/>
      </c>
      <c r="I45" s="138" t="str">
        <f>IFERROR(__xludf.DUMMYFUNCTION("IFERROR(INDEX(FILTER('Vân tay'!$A$5:$O270,'Vân tay'!$C$5:$C270=F45,'Vân tay'!$B$5:$B270=D45),1,14),"""")"),"")</f>
        <v/>
      </c>
      <c r="J45" s="138" t="str">
        <f>IFERROR(__xludf.DUMMYFUNCTION("IFERROR(INDEX(FILTER('Vân tay'!$A$5:$O270,'Vân tay'!$C$5:$C270=F45,'Vân tay'!$B$5:$B270=D45),1,15),"""")"),"")</f>
        <v/>
      </c>
      <c r="K45" s="196" t="str">
        <f t="shared" si="1"/>
        <v/>
      </c>
      <c r="L45" s="196" t="str">
        <f t="shared" si="2"/>
        <v/>
      </c>
      <c r="M45" s="197" t="str">
        <f t="shared" si="9"/>
        <v/>
      </c>
      <c r="N45" s="198" t="str">
        <f t="shared" si="3"/>
        <v/>
      </c>
      <c r="O45" s="198" t="str">
        <f t="shared" si="10"/>
        <v/>
      </c>
      <c r="P45" s="198"/>
      <c r="Q45" s="198">
        <f t="shared" si="4"/>
        <v>0</v>
      </c>
      <c r="R45" s="198">
        <f t="shared" si="5"/>
        <v>0</v>
      </c>
      <c r="S45" s="199">
        <f t="shared" si="6"/>
        <v>0</v>
      </c>
      <c r="T45" s="198">
        <f t="shared" si="7"/>
        <v>0</v>
      </c>
      <c r="U45" s="198"/>
      <c r="V45" s="198"/>
      <c r="W45" s="198">
        <f t="shared" si="8"/>
        <v>0</v>
      </c>
      <c r="X45" s="200"/>
    </row>
    <row r="46">
      <c r="A46" s="135"/>
      <c r="B46" s="135"/>
      <c r="C46" s="135"/>
      <c r="D46" s="195"/>
      <c r="E46" s="135" t="str">
        <f>IFERROR(VLOOKUP(C46,'Công T5'!$C$7:$F$89,4,0),"")</f>
        <v/>
      </c>
      <c r="F46" s="137" t="str">
        <f>IFERROR(__xludf.DUMMYFUNCTION("INDEX(FILTER('Công T5'!$B$8:$C$89,'Công T5'!$C$8:$C$89=C46),1,1)"),"")</f>
        <v/>
      </c>
      <c r="G46" s="138" t="str">
        <f>IFERROR(__xludf.DUMMYFUNCTION("IFERROR(INDEX(FILTER('Vân tay'!$A$5:$O270,'Vân tay'!$C$5:$C270=F46,'Vân tay'!$B$5:$B270=D46),1,10),"""")"),"")</f>
        <v/>
      </c>
      <c r="H46" s="138" t="str">
        <f>IFERROR(__xludf.DUMMYFUNCTION("IFERROR(INDEX(FILTER('Vân tay'!$A$5:$O270,'Vân tay'!$C$5:$C270=F46,'Vân tay'!$B$5:$B270=D46),1,11),"""")"),"")</f>
        <v/>
      </c>
      <c r="I46" s="138" t="str">
        <f>IFERROR(__xludf.DUMMYFUNCTION("IFERROR(INDEX(FILTER('Vân tay'!$A$5:$O270,'Vân tay'!$C$5:$C270=F46,'Vân tay'!$B$5:$B270=D46),1,14),"""")"),"")</f>
        <v/>
      </c>
      <c r="J46" s="138" t="str">
        <f>IFERROR(__xludf.DUMMYFUNCTION("IFERROR(INDEX(FILTER('Vân tay'!$A$5:$O270,'Vân tay'!$C$5:$C270=F46,'Vân tay'!$B$5:$B270=D46),1,15),"""")"),"")</f>
        <v/>
      </c>
      <c r="K46" s="196" t="str">
        <f t="shared" si="1"/>
        <v/>
      </c>
      <c r="L46" s="196" t="str">
        <f t="shared" si="2"/>
        <v/>
      </c>
      <c r="M46" s="197" t="str">
        <f t="shared" si="9"/>
        <v/>
      </c>
      <c r="N46" s="198" t="str">
        <f t="shared" si="3"/>
        <v/>
      </c>
      <c r="O46" s="198" t="str">
        <f t="shared" si="10"/>
        <v/>
      </c>
      <c r="P46" s="198"/>
      <c r="Q46" s="198">
        <f t="shared" si="4"/>
        <v>0</v>
      </c>
      <c r="R46" s="198">
        <f t="shared" si="5"/>
        <v>0</v>
      </c>
      <c r="S46" s="199">
        <f t="shared" si="6"/>
        <v>0</v>
      </c>
      <c r="T46" s="198">
        <f t="shared" si="7"/>
        <v>0</v>
      </c>
      <c r="U46" s="198"/>
      <c r="V46" s="198"/>
      <c r="W46" s="198">
        <f t="shared" si="8"/>
        <v>0</v>
      </c>
      <c r="X46" s="200"/>
    </row>
    <row r="47">
      <c r="A47" s="135"/>
      <c r="B47" s="135"/>
      <c r="C47" s="135"/>
      <c r="D47" s="195"/>
      <c r="E47" s="135" t="str">
        <f>IFERROR(VLOOKUP(C47,'Công T5'!$C$7:$F$89,4,0),"")</f>
        <v/>
      </c>
      <c r="F47" s="137" t="str">
        <f>IFERROR(__xludf.DUMMYFUNCTION("INDEX(FILTER('Công T5'!$B$8:$C$89,'Công T5'!$C$8:$C$89=C47),1,1)"),"")</f>
        <v/>
      </c>
      <c r="G47" s="138" t="str">
        <f>IFERROR(__xludf.DUMMYFUNCTION("IFERROR(INDEX(FILTER('Vân tay'!$A$5:$O270,'Vân tay'!$C$5:$C270=F47,'Vân tay'!$B$5:$B270=D47),1,10),"""")"),"")</f>
        <v/>
      </c>
      <c r="H47" s="138" t="str">
        <f>IFERROR(__xludf.DUMMYFUNCTION("IFERROR(INDEX(FILTER('Vân tay'!$A$5:$O270,'Vân tay'!$C$5:$C270=F47,'Vân tay'!$B$5:$B270=D47),1,11),"""")"),"")</f>
        <v/>
      </c>
      <c r="I47" s="138" t="str">
        <f>IFERROR(__xludf.DUMMYFUNCTION("IFERROR(INDEX(FILTER('Vân tay'!$A$5:$O270,'Vân tay'!$C$5:$C270=F47,'Vân tay'!$B$5:$B270=D47),1,14),"""")"),"")</f>
        <v/>
      </c>
      <c r="J47" s="138" t="str">
        <f>IFERROR(__xludf.DUMMYFUNCTION("IFERROR(INDEX(FILTER('Vân tay'!$A$5:$O270,'Vân tay'!$C$5:$C270=F47,'Vân tay'!$B$5:$B270=D47),1,15),"""")"),"")</f>
        <v/>
      </c>
      <c r="K47" s="196" t="str">
        <f t="shared" si="1"/>
        <v/>
      </c>
      <c r="L47" s="196" t="str">
        <f t="shared" si="2"/>
        <v/>
      </c>
      <c r="M47" s="197" t="str">
        <f t="shared" si="9"/>
        <v/>
      </c>
      <c r="N47" s="198" t="str">
        <f t="shared" si="3"/>
        <v/>
      </c>
      <c r="O47" s="198" t="str">
        <f t="shared" si="10"/>
        <v/>
      </c>
      <c r="P47" s="198"/>
      <c r="Q47" s="198">
        <f t="shared" si="4"/>
        <v>0</v>
      </c>
      <c r="R47" s="198">
        <f t="shared" si="5"/>
        <v>0</v>
      </c>
      <c r="S47" s="199">
        <f t="shared" si="6"/>
        <v>0</v>
      </c>
      <c r="T47" s="198">
        <f t="shared" si="7"/>
        <v>0</v>
      </c>
      <c r="U47" s="198"/>
      <c r="V47" s="198"/>
      <c r="W47" s="198">
        <f t="shared" si="8"/>
        <v>0</v>
      </c>
      <c r="X47" s="200"/>
    </row>
    <row r="48">
      <c r="A48" s="135"/>
      <c r="B48" s="135"/>
      <c r="C48" s="135"/>
      <c r="D48" s="195"/>
      <c r="E48" s="135" t="str">
        <f>IFERROR(VLOOKUP(C48,'Công T5'!$C$7:$F$89,4,0),"")</f>
        <v/>
      </c>
      <c r="F48" s="137" t="str">
        <f>IFERROR(__xludf.DUMMYFUNCTION("INDEX(FILTER('Công T5'!$B$8:$C$89,'Công T5'!$C$8:$C$89=C48),1,1)"),"")</f>
        <v/>
      </c>
      <c r="G48" s="138" t="str">
        <f>IFERROR(__xludf.DUMMYFUNCTION("IFERROR(INDEX(FILTER('Vân tay'!$A$5:$O270,'Vân tay'!$C$5:$C270=F48,'Vân tay'!$B$5:$B270=D48),1,10),"""")"),"")</f>
        <v/>
      </c>
      <c r="H48" s="138" t="str">
        <f>IFERROR(__xludf.DUMMYFUNCTION("IFERROR(INDEX(FILTER('Vân tay'!$A$5:$O270,'Vân tay'!$C$5:$C270=F48,'Vân tay'!$B$5:$B270=D48),1,11),"""")"),"")</f>
        <v/>
      </c>
      <c r="I48" s="138" t="str">
        <f>IFERROR(__xludf.DUMMYFUNCTION("IFERROR(INDEX(FILTER('Vân tay'!$A$5:$O270,'Vân tay'!$C$5:$C270=F48,'Vân tay'!$B$5:$B270=D48),1,14),"""")"),"")</f>
        <v/>
      </c>
      <c r="J48" s="138" t="str">
        <f>IFERROR(__xludf.DUMMYFUNCTION("IFERROR(INDEX(FILTER('Vân tay'!$A$5:$O270,'Vân tay'!$C$5:$C270=F48,'Vân tay'!$B$5:$B270=D48),1,15),"""")"),"")</f>
        <v/>
      </c>
      <c r="K48" s="196" t="str">
        <f t="shared" si="1"/>
        <v/>
      </c>
      <c r="L48" s="196" t="str">
        <f t="shared" si="2"/>
        <v/>
      </c>
      <c r="M48" s="197" t="str">
        <f t="shared" si="9"/>
        <v/>
      </c>
      <c r="N48" s="198" t="str">
        <f t="shared" si="3"/>
        <v/>
      </c>
      <c r="O48" s="198" t="str">
        <f t="shared" si="10"/>
        <v/>
      </c>
      <c r="P48" s="198"/>
      <c r="Q48" s="198">
        <f t="shared" si="4"/>
        <v>0</v>
      </c>
      <c r="R48" s="198">
        <f t="shared" si="5"/>
        <v>0</v>
      </c>
      <c r="S48" s="199">
        <f t="shared" si="6"/>
        <v>0</v>
      </c>
      <c r="T48" s="198">
        <f t="shared" si="7"/>
        <v>0</v>
      </c>
      <c r="U48" s="198"/>
      <c r="V48" s="198"/>
      <c r="W48" s="198">
        <f t="shared" si="8"/>
        <v>0</v>
      </c>
      <c r="X48" s="200"/>
    </row>
    <row r="49">
      <c r="A49" s="135"/>
      <c r="B49" s="135"/>
      <c r="C49" s="135"/>
      <c r="D49" s="195"/>
      <c r="E49" s="135" t="str">
        <f>IFERROR(VLOOKUP(C49,'Công T5'!$C$7:$F$89,4,0),"")</f>
        <v/>
      </c>
      <c r="F49" s="137" t="str">
        <f>IFERROR(__xludf.DUMMYFUNCTION("INDEX(FILTER('Công T5'!$B$8:$C$89,'Công T5'!$C$8:$C$89=C49),1,1)"),"")</f>
        <v/>
      </c>
      <c r="G49" s="138" t="str">
        <f>IFERROR(__xludf.DUMMYFUNCTION("IFERROR(INDEX(FILTER('Vân tay'!$A$5:$O270,'Vân tay'!$C$5:$C270=F49,'Vân tay'!$B$5:$B270=D49),1,10),"""")"),"")</f>
        <v/>
      </c>
      <c r="H49" s="138" t="str">
        <f>IFERROR(__xludf.DUMMYFUNCTION("IFERROR(INDEX(FILTER('Vân tay'!$A$5:$O270,'Vân tay'!$C$5:$C270=F49,'Vân tay'!$B$5:$B270=D49),1,11),"""")"),"")</f>
        <v/>
      </c>
      <c r="I49" s="138" t="str">
        <f>IFERROR(__xludf.DUMMYFUNCTION("IFERROR(INDEX(FILTER('Vân tay'!$A$5:$O270,'Vân tay'!$C$5:$C270=F49,'Vân tay'!$B$5:$B270=D49),1,14),"""")"),"")</f>
        <v/>
      </c>
      <c r="J49" s="138" t="str">
        <f>IFERROR(__xludf.DUMMYFUNCTION("IFERROR(INDEX(FILTER('Vân tay'!$A$5:$O270,'Vân tay'!$C$5:$C270=F49,'Vân tay'!$B$5:$B270=D49),1,15),"""")"),"")</f>
        <v/>
      </c>
      <c r="K49" s="196" t="str">
        <f t="shared" si="1"/>
        <v/>
      </c>
      <c r="L49" s="196" t="str">
        <f t="shared" si="2"/>
        <v/>
      </c>
      <c r="M49" s="197" t="str">
        <f t="shared" si="9"/>
        <v/>
      </c>
      <c r="N49" s="198" t="str">
        <f t="shared" si="3"/>
        <v/>
      </c>
      <c r="O49" s="198" t="str">
        <f t="shared" si="10"/>
        <v/>
      </c>
      <c r="P49" s="198"/>
      <c r="Q49" s="198">
        <f t="shared" si="4"/>
        <v>0</v>
      </c>
      <c r="R49" s="198">
        <f t="shared" si="5"/>
        <v>0</v>
      </c>
      <c r="S49" s="199">
        <f t="shared" si="6"/>
        <v>0</v>
      </c>
      <c r="T49" s="198">
        <f t="shared" si="7"/>
        <v>0</v>
      </c>
      <c r="U49" s="198"/>
      <c r="V49" s="198"/>
      <c r="W49" s="198">
        <f t="shared" si="8"/>
        <v>0</v>
      </c>
      <c r="X49" s="200"/>
    </row>
    <row r="50">
      <c r="A50" s="135"/>
      <c r="B50" s="135"/>
      <c r="C50" s="195"/>
      <c r="D50" s="195"/>
      <c r="E50" s="135" t="str">
        <f>IFERROR(VLOOKUP(C50,'Công T5'!$C$7:$F$89,4,0),"")</f>
        <v/>
      </c>
      <c r="F50" s="137" t="str">
        <f>IFERROR(__xludf.DUMMYFUNCTION("INDEX(FILTER('Công T5'!$B$8:$C$89,'Công T5'!$C$8:$C$89=C50),1,1)"),"")</f>
        <v/>
      </c>
      <c r="G50" s="138" t="str">
        <f>IFERROR(__xludf.DUMMYFUNCTION("IFERROR(INDEX(FILTER('Vân tay'!$A$5:$O270,'Vân tay'!$C$5:$C270=F50,'Vân tay'!$B$5:$B270=D50),1,10),"""")"),"")</f>
        <v/>
      </c>
      <c r="H50" s="138" t="str">
        <f>IFERROR(__xludf.DUMMYFUNCTION("IFERROR(INDEX(FILTER('Vân tay'!$A$5:$O270,'Vân tay'!$C$5:$C270=F50,'Vân tay'!$B$5:$B270=D50),1,11),"""")"),"")</f>
        <v/>
      </c>
      <c r="I50" s="138" t="str">
        <f>IFERROR(__xludf.DUMMYFUNCTION("IFERROR(INDEX(FILTER('Vân tay'!$A$5:$O270,'Vân tay'!$C$5:$C270=F50,'Vân tay'!$B$5:$B270=D50),1,14),"""")"),"")</f>
        <v/>
      </c>
      <c r="J50" s="138" t="str">
        <f>IFERROR(__xludf.DUMMYFUNCTION("IFERROR(INDEX(FILTER('Vân tay'!$A$5:$O270,'Vân tay'!$C$5:$C270=F50,'Vân tay'!$B$5:$B270=D50),1,15),"""")"),"")</f>
        <v/>
      </c>
      <c r="K50" s="196" t="str">
        <f t="shared" si="1"/>
        <v/>
      </c>
      <c r="L50" s="196" t="str">
        <f t="shared" si="2"/>
        <v/>
      </c>
      <c r="M50" s="197" t="str">
        <f t="shared" si="9"/>
        <v/>
      </c>
      <c r="N50" s="198" t="str">
        <f t="shared" si="3"/>
        <v/>
      </c>
      <c r="O50" s="198" t="str">
        <f t="shared" si="10"/>
        <v/>
      </c>
      <c r="P50" s="198"/>
      <c r="Q50" s="198">
        <f t="shared" si="4"/>
        <v>0</v>
      </c>
      <c r="R50" s="198">
        <f t="shared" si="5"/>
        <v>0</v>
      </c>
      <c r="S50" s="199">
        <f t="shared" si="6"/>
        <v>0</v>
      </c>
      <c r="T50" s="198">
        <f t="shared" si="7"/>
        <v>0</v>
      </c>
      <c r="U50" s="198"/>
      <c r="V50" s="198"/>
      <c r="W50" s="198">
        <f t="shared" si="8"/>
        <v>0</v>
      </c>
      <c r="X50" s="200"/>
    </row>
    <row r="51">
      <c r="A51" s="135"/>
      <c r="B51" s="135"/>
      <c r="C51" s="135"/>
      <c r="D51" s="195"/>
      <c r="E51" s="135" t="str">
        <f>IFERROR(VLOOKUP(C51,'Công T5'!$C$7:$F$89,4,0),"")</f>
        <v/>
      </c>
      <c r="F51" s="137" t="str">
        <f>IFERROR(__xludf.DUMMYFUNCTION("INDEX(FILTER('Công T5'!$B$8:$C$89,'Công T5'!$C$8:$C$89=C51),1,1)"),"")</f>
        <v/>
      </c>
      <c r="G51" s="138" t="str">
        <f>IFERROR(__xludf.DUMMYFUNCTION("IFERROR(INDEX(FILTER('Vân tay'!$A$5:$O270,'Vân tay'!$C$5:$C270=F51,'Vân tay'!$B$5:$B270=D51),1,10),"""")"),"")</f>
        <v/>
      </c>
      <c r="H51" s="138" t="str">
        <f>IFERROR(__xludf.DUMMYFUNCTION("IFERROR(INDEX(FILTER('Vân tay'!$A$5:$O270,'Vân tay'!$C$5:$C270=F51,'Vân tay'!$B$5:$B270=D51),1,11),"""")"),"")</f>
        <v/>
      </c>
      <c r="I51" s="138" t="str">
        <f>IFERROR(__xludf.DUMMYFUNCTION("IFERROR(INDEX(FILTER('Vân tay'!$A$5:$O270,'Vân tay'!$C$5:$C270=F51,'Vân tay'!$B$5:$B270=D51),1,14),"""")"),"")</f>
        <v/>
      </c>
      <c r="J51" s="138" t="str">
        <f>IFERROR(__xludf.DUMMYFUNCTION("IFERROR(INDEX(FILTER('Vân tay'!$A$5:$O270,'Vân tay'!$C$5:$C270=F51,'Vân tay'!$B$5:$B270=D51),1,15),"""")"),"")</f>
        <v/>
      </c>
      <c r="K51" s="196" t="str">
        <f t="shared" si="1"/>
        <v/>
      </c>
      <c r="L51" s="196" t="str">
        <f t="shared" si="2"/>
        <v/>
      </c>
      <c r="M51" s="197" t="str">
        <f t="shared" si="9"/>
        <v/>
      </c>
      <c r="N51" s="198" t="str">
        <f t="shared" si="3"/>
        <v/>
      </c>
      <c r="O51" s="198" t="str">
        <f t="shared" si="10"/>
        <v/>
      </c>
      <c r="P51" s="198"/>
      <c r="Q51" s="198">
        <f t="shared" si="4"/>
        <v>0</v>
      </c>
      <c r="R51" s="198">
        <f t="shared" si="5"/>
        <v>0</v>
      </c>
      <c r="S51" s="199">
        <f t="shared" si="6"/>
        <v>0</v>
      </c>
      <c r="T51" s="198">
        <f t="shared" si="7"/>
        <v>0</v>
      </c>
      <c r="U51" s="198"/>
      <c r="V51" s="198"/>
      <c r="W51" s="198">
        <f t="shared" si="8"/>
        <v>0</v>
      </c>
      <c r="X51" s="200"/>
    </row>
    <row r="52">
      <c r="A52" s="135"/>
      <c r="B52" s="135"/>
      <c r="C52" s="135"/>
      <c r="D52" s="195"/>
      <c r="E52" s="135" t="str">
        <f>IFERROR(VLOOKUP(C52,'Công T5'!$C$7:$F$89,4,0),"")</f>
        <v/>
      </c>
      <c r="F52" s="137" t="str">
        <f>IFERROR(__xludf.DUMMYFUNCTION("INDEX(FILTER('Công T5'!$B$8:$C$89,'Công T5'!$C$8:$C$89=C52),1,1)"),"")</f>
        <v/>
      </c>
      <c r="G52" s="138" t="str">
        <f>IFERROR(__xludf.DUMMYFUNCTION("IFERROR(INDEX(FILTER('Vân tay'!$A$5:$O270,'Vân tay'!$C$5:$C270=F52,'Vân tay'!$B$5:$B270=D52),1,10),"""")"),"")</f>
        <v/>
      </c>
      <c r="H52" s="138" t="str">
        <f>IFERROR(__xludf.DUMMYFUNCTION("IFERROR(INDEX(FILTER('Vân tay'!$A$5:$O270,'Vân tay'!$C$5:$C270=F52,'Vân tay'!$B$5:$B270=D52),1,11),"""")"),"")</f>
        <v/>
      </c>
      <c r="I52" s="138" t="str">
        <f>IFERROR(__xludf.DUMMYFUNCTION("IFERROR(INDEX(FILTER('Vân tay'!$A$5:$O270,'Vân tay'!$C$5:$C270=F52,'Vân tay'!$B$5:$B270=D52),1,14),"""")"),"")</f>
        <v/>
      </c>
      <c r="J52" s="138" t="str">
        <f>IFERROR(__xludf.DUMMYFUNCTION("IFERROR(INDEX(FILTER('Vân tay'!$A$5:$O270,'Vân tay'!$C$5:$C270=F52,'Vân tay'!$B$5:$B270=D52),1,15),"""")"),"")</f>
        <v/>
      </c>
      <c r="K52" s="196" t="str">
        <f t="shared" si="1"/>
        <v/>
      </c>
      <c r="L52" s="196" t="str">
        <f t="shared" si="2"/>
        <v/>
      </c>
      <c r="M52" s="197" t="str">
        <f t="shared" si="9"/>
        <v/>
      </c>
      <c r="N52" s="198" t="str">
        <f t="shared" si="3"/>
        <v/>
      </c>
      <c r="O52" s="198" t="str">
        <f t="shared" si="10"/>
        <v/>
      </c>
      <c r="P52" s="198"/>
      <c r="Q52" s="198">
        <f t="shared" si="4"/>
        <v>0</v>
      </c>
      <c r="R52" s="198">
        <f t="shared" si="5"/>
        <v>0</v>
      </c>
      <c r="S52" s="199">
        <f t="shared" si="6"/>
        <v>0</v>
      </c>
      <c r="T52" s="198">
        <f t="shared" si="7"/>
        <v>0</v>
      </c>
      <c r="U52" s="198"/>
      <c r="V52" s="198"/>
      <c r="W52" s="198">
        <f t="shared" si="8"/>
        <v>0</v>
      </c>
      <c r="X52" s="200"/>
    </row>
    <row r="53">
      <c r="A53" s="135"/>
      <c r="B53" s="135"/>
      <c r="C53" s="135"/>
      <c r="D53" s="195"/>
      <c r="E53" s="135" t="str">
        <f>IFERROR(VLOOKUP(C53,'Công T5'!$C$7:$F$89,4,0),"")</f>
        <v/>
      </c>
      <c r="F53" s="137" t="str">
        <f>IFERROR(__xludf.DUMMYFUNCTION("INDEX(FILTER('Công T5'!$B$8:$C$89,'Công T5'!$C$8:$C$89=C53),1,1)"),"")</f>
        <v/>
      </c>
      <c r="G53" s="138" t="str">
        <f>IFERROR(__xludf.DUMMYFUNCTION("IFERROR(INDEX(FILTER('Vân tay'!$A$5:$O270,'Vân tay'!$C$5:$C270=F53,'Vân tay'!$B$5:$B270=D53),1,10),"""")"),"")</f>
        <v/>
      </c>
      <c r="H53" s="138" t="str">
        <f>IFERROR(__xludf.DUMMYFUNCTION("IFERROR(INDEX(FILTER('Vân tay'!$A$5:$O270,'Vân tay'!$C$5:$C270=F53,'Vân tay'!$B$5:$B270=D53),1,11),"""")"),"")</f>
        <v/>
      </c>
      <c r="I53" s="138" t="str">
        <f>IFERROR(__xludf.DUMMYFUNCTION("IFERROR(INDEX(FILTER('Vân tay'!$A$5:$O270,'Vân tay'!$C$5:$C270=F53,'Vân tay'!$B$5:$B270=D53),1,14),"""")"),"")</f>
        <v/>
      </c>
      <c r="J53" s="138" t="str">
        <f>IFERROR(__xludf.DUMMYFUNCTION("IFERROR(INDEX(FILTER('Vân tay'!$A$5:$O270,'Vân tay'!$C$5:$C270=F53,'Vân tay'!$B$5:$B270=D53),1,15),"""")"),"")</f>
        <v/>
      </c>
      <c r="K53" s="196" t="str">
        <f t="shared" si="1"/>
        <v/>
      </c>
      <c r="L53" s="196" t="str">
        <f t="shared" si="2"/>
        <v/>
      </c>
      <c r="M53" s="197" t="str">
        <f t="shared" si="9"/>
        <v/>
      </c>
      <c r="N53" s="198" t="str">
        <f t="shared" si="3"/>
        <v/>
      </c>
      <c r="O53" s="198" t="str">
        <f t="shared" si="10"/>
        <v/>
      </c>
      <c r="P53" s="198"/>
      <c r="Q53" s="198">
        <f t="shared" si="4"/>
        <v>0</v>
      </c>
      <c r="R53" s="198">
        <f t="shared" si="5"/>
        <v>0</v>
      </c>
      <c r="S53" s="199">
        <f t="shared" si="6"/>
        <v>0</v>
      </c>
      <c r="T53" s="198">
        <f t="shared" si="7"/>
        <v>0</v>
      </c>
      <c r="U53" s="198"/>
      <c r="V53" s="198"/>
      <c r="W53" s="198">
        <f t="shared" si="8"/>
        <v>0</v>
      </c>
      <c r="X53" s="200"/>
    </row>
    <row r="54">
      <c r="A54" s="135"/>
      <c r="B54" s="135"/>
      <c r="C54" s="135"/>
      <c r="D54" s="195"/>
      <c r="E54" s="135" t="str">
        <f>IFERROR(VLOOKUP(C54,'Công T5'!$C$7:$F$89,4,0),"")</f>
        <v/>
      </c>
      <c r="F54" s="137" t="str">
        <f>IFERROR(__xludf.DUMMYFUNCTION("INDEX(FILTER('Công T5'!$B$8:$C$89,'Công T5'!$C$8:$C$89=C54),1,1)"),"")</f>
        <v/>
      </c>
      <c r="G54" s="138" t="str">
        <f>IFERROR(__xludf.DUMMYFUNCTION("IFERROR(INDEX(FILTER('Vân tay'!$A$5:$O270,'Vân tay'!$C$5:$C270=F54,'Vân tay'!$B$5:$B270=D54),1,10),"""")"),"")</f>
        <v/>
      </c>
      <c r="H54" s="138" t="str">
        <f>IFERROR(__xludf.DUMMYFUNCTION("IFERROR(INDEX(FILTER('Vân tay'!$A$5:$O270,'Vân tay'!$C$5:$C270=F54,'Vân tay'!$B$5:$B270=D54),1,11),"""")"),"")</f>
        <v/>
      </c>
      <c r="I54" s="138" t="str">
        <f>IFERROR(__xludf.DUMMYFUNCTION("IFERROR(INDEX(FILTER('Vân tay'!$A$5:$O270,'Vân tay'!$C$5:$C270=F54,'Vân tay'!$B$5:$B270=D54),1,14),"""")"),"")</f>
        <v/>
      </c>
      <c r="J54" s="138" t="str">
        <f>IFERROR(__xludf.DUMMYFUNCTION("IFERROR(INDEX(FILTER('Vân tay'!$A$5:$O270,'Vân tay'!$C$5:$C270=F54,'Vân tay'!$B$5:$B270=D54),1,15),"""")"),"")</f>
        <v/>
      </c>
      <c r="K54" s="196" t="str">
        <f t="shared" si="1"/>
        <v/>
      </c>
      <c r="L54" s="196" t="str">
        <f t="shared" si="2"/>
        <v/>
      </c>
      <c r="M54" s="197" t="str">
        <f t="shared" si="9"/>
        <v/>
      </c>
      <c r="N54" s="198" t="str">
        <f t="shared" si="3"/>
        <v/>
      </c>
      <c r="O54" s="198" t="str">
        <f t="shared" si="10"/>
        <v/>
      </c>
      <c r="P54" s="198"/>
      <c r="Q54" s="198">
        <f t="shared" si="4"/>
        <v>0</v>
      </c>
      <c r="R54" s="198">
        <f t="shared" si="5"/>
        <v>0</v>
      </c>
      <c r="S54" s="199">
        <f t="shared" si="6"/>
        <v>0</v>
      </c>
      <c r="T54" s="198">
        <f t="shared" si="7"/>
        <v>0</v>
      </c>
      <c r="U54" s="198"/>
      <c r="V54" s="198"/>
      <c r="W54" s="198">
        <f t="shared" si="8"/>
        <v>0</v>
      </c>
      <c r="X54" s="200"/>
    </row>
    <row r="55">
      <c r="A55" s="135"/>
      <c r="B55" s="135"/>
      <c r="C55" s="135"/>
      <c r="D55" s="195"/>
      <c r="E55" s="135" t="str">
        <f>IFERROR(VLOOKUP(C55,'Công T5'!$C$7:$F$89,4,0),"")</f>
        <v/>
      </c>
      <c r="F55" s="137" t="str">
        <f>IFERROR(__xludf.DUMMYFUNCTION("INDEX(FILTER('Công T5'!$B$8:$C$89,'Công T5'!$C$8:$C$89=C55),1,1)"),"")</f>
        <v/>
      </c>
      <c r="G55" s="138" t="str">
        <f>IFERROR(__xludf.DUMMYFUNCTION("IFERROR(INDEX(FILTER('Vân tay'!$A$5:$O270,'Vân tay'!$C$5:$C270=F55,'Vân tay'!$B$5:$B270=D55),1,10),"""")"),"")</f>
        <v/>
      </c>
      <c r="H55" s="138" t="str">
        <f>IFERROR(__xludf.DUMMYFUNCTION("IFERROR(INDEX(FILTER('Vân tay'!$A$5:$O270,'Vân tay'!$C$5:$C270=F55,'Vân tay'!$B$5:$B270=D55),1,11),"""")"),"")</f>
        <v/>
      </c>
      <c r="I55" s="138" t="str">
        <f>IFERROR(__xludf.DUMMYFUNCTION("IFERROR(INDEX(FILTER('Vân tay'!$A$5:$O270,'Vân tay'!$C$5:$C270=F55,'Vân tay'!$B$5:$B270=D55),1,14),"""")"),"")</f>
        <v/>
      </c>
      <c r="J55" s="138" t="str">
        <f>IFERROR(__xludf.DUMMYFUNCTION("IFERROR(INDEX(FILTER('Vân tay'!$A$5:$O270,'Vân tay'!$C$5:$C270=F55,'Vân tay'!$B$5:$B270=D55),1,15),"""")"),"")</f>
        <v/>
      </c>
      <c r="K55" s="196" t="str">
        <f t="shared" si="1"/>
        <v/>
      </c>
      <c r="L55" s="196" t="str">
        <f t="shared" si="2"/>
        <v/>
      </c>
      <c r="M55" s="197" t="str">
        <f t="shared" si="9"/>
        <v/>
      </c>
      <c r="N55" s="198" t="str">
        <f t="shared" si="3"/>
        <v/>
      </c>
      <c r="O55" s="198" t="str">
        <f t="shared" si="10"/>
        <v/>
      </c>
      <c r="P55" s="198"/>
      <c r="Q55" s="198">
        <f t="shared" si="4"/>
        <v>0</v>
      </c>
      <c r="R55" s="198">
        <f t="shared" si="5"/>
        <v>0</v>
      </c>
      <c r="S55" s="199">
        <f t="shared" si="6"/>
        <v>0</v>
      </c>
      <c r="T55" s="198">
        <f t="shared" si="7"/>
        <v>0</v>
      </c>
      <c r="U55" s="198"/>
      <c r="V55" s="198"/>
      <c r="W55" s="198">
        <f t="shared" si="8"/>
        <v>0</v>
      </c>
      <c r="X55" s="200"/>
    </row>
    <row r="56">
      <c r="A56" s="135"/>
      <c r="B56" s="135"/>
      <c r="C56" s="135"/>
      <c r="D56" s="195"/>
      <c r="E56" s="135" t="str">
        <f>IFERROR(VLOOKUP(C56,'Công T5'!$C$7:$F$89,4,0),"")</f>
        <v/>
      </c>
      <c r="F56" s="137" t="str">
        <f>IFERROR(__xludf.DUMMYFUNCTION("INDEX(FILTER('Công T5'!$B$8:$C$89,'Công T5'!$C$8:$C$89=C56),1,1)"),"")</f>
        <v/>
      </c>
      <c r="G56" s="138" t="str">
        <f>IFERROR(__xludf.DUMMYFUNCTION("IFERROR(INDEX(FILTER('Vân tay'!$A$5:$O270,'Vân tay'!$C$5:$C270=F56,'Vân tay'!$B$5:$B270=D56),1,10),"""")"),"")</f>
        <v/>
      </c>
      <c r="H56" s="138" t="str">
        <f>IFERROR(__xludf.DUMMYFUNCTION("IFERROR(INDEX(FILTER('Vân tay'!$A$5:$O270,'Vân tay'!$C$5:$C270=F56,'Vân tay'!$B$5:$B270=D56),1,11),"""")"),"")</f>
        <v/>
      </c>
      <c r="I56" s="138" t="str">
        <f>IFERROR(__xludf.DUMMYFUNCTION("IFERROR(INDEX(FILTER('Vân tay'!$A$5:$O270,'Vân tay'!$C$5:$C270=F56,'Vân tay'!$B$5:$B270=D56),1,14),"""")"),"")</f>
        <v/>
      </c>
      <c r="J56" s="138" t="str">
        <f>IFERROR(__xludf.DUMMYFUNCTION("IFERROR(INDEX(FILTER('Vân tay'!$A$5:$O270,'Vân tay'!$C$5:$C270=F56,'Vân tay'!$B$5:$B270=D56),1,15),"""")"),"")</f>
        <v/>
      </c>
      <c r="K56" s="196" t="str">
        <f t="shared" si="1"/>
        <v/>
      </c>
      <c r="L56" s="196" t="str">
        <f t="shared" si="2"/>
        <v/>
      </c>
      <c r="M56" s="197" t="str">
        <f t="shared" si="9"/>
        <v/>
      </c>
      <c r="N56" s="198" t="str">
        <f t="shared" si="3"/>
        <v/>
      </c>
      <c r="O56" s="198" t="str">
        <f t="shared" si="10"/>
        <v/>
      </c>
      <c r="P56" s="198"/>
      <c r="Q56" s="198">
        <f t="shared" si="4"/>
        <v>0</v>
      </c>
      <c r="R56" s="198">
        <f t="shared" si="5"/>
        <v>0</v>
      </c>
      <c r="S56" s="199">
        <f t="shared" si="6"/>
        <v>0</v>
      </c>
      <c r="T56" s="198">
        <f t="shared" si="7"/>
        <v>0</v>
      </c>
      <c r="U56" s="198"/>
      <c r="V56" s="198"/>
      <c r="W56" s="198">
        <f t="shared" si="8"/>
        <v>0</v>
      </c>
      <c r="X56" s="200"/>
    </row>
    <row r="57">
      <c r="A57" s="135"/>
      <c r="B57" s="135"/>
      <c r="C57" s="135"/>
      <c r="D57" s="195"/>
      <c r="E57" s="135" t="str">
        <f>IFERROR(VLOOKUP(C57,'Công T5'!$C$7:$F$89,4,0),"")</f>
        <v/>
      </c>
      <c r="F57" s="137" t="str">
        <f>IFERROR(__xludf.DUMMYFUNCTION("INDEX(FILTER('Công T5'!$B$8:$C$89,'Công T5'!$C$8:$C$89=C57),1,1)"),"")</f>
        <v/>
      </c>
      <c r="G57" s="138" t="str">
        <f>IFERROR(__xludf.DUMMYFUNCTION("IFERROR(INDEX(FILTER('Vân tay'!$A$5:$O270,'Vân tay'!$C$5:$C270=F57,'Vân tay'!$B$5:$B270=D57),1,10),"""")"),"")</f>
        <v/>
      </c>
      <c r="H57" s="138" t="str">
        <f>IFERROR(__xludf.DUMMYFUNCTION("IFERROR(INDEX(FILTER('Vân tay'!$A$5:$O270,'Vân tay'!$C$5:$C270=F57,'Vân tay'!$B$5:$B270=D57),1,11),"""")"),"")</f>
        <v/>
      </c>
      <c r="I57" s="138" t="str">
        <f>IFERROR(__xludf.DUMMYFUNCTION("IFERROR(INDEX(FILTER('Vân tay'!$A$5:$O270,'Vân tay'!$C$5:$C270=F57,'Vân tay'!$B$5:$B270=D57),1,14),"""")"),"")</f>
        <v/>
      </c>
      <c r="J57" s="138" t="str">
        <f>IFERROR(__xludf.DUMMYFUNCTION("IFERROR(INDEX(FILTER('Vân tay'!$A$5:$O270,'Vân tay'!$C$5:$C270=F57,'Vân tay'!$B$5:$B270=D57),1,15),"""")"),"")</f>
        <v/>
      </c>
      <c r="K57" s="196" t="str">
        <f t="shared" si="1"/>
        <v/>
      </c>
      <c r="L57" s="196" t="str">
        <f t="shared" si="2"/>
        <v/>
      </c>
      <c r="M57" s="197" t="str">
        <f t="shared" si="9"/>
        <v/>
      </c>
      <c r="N57" s="198" t="str">
        <f t="shared" si="3"/>
        <v/>
      </c>
      <c r="O57" s="198" t="str">
        <f t="shared" si="10"/>
        <v/>
      </c>
      <c r="P57" s="198"/>
      <c r="Q57" s="198">
        <f t="shared" si="4"/>
        <v>0</v>
      </c>
      <c r="R57" s="198">
        <f t="shared" si="5"/>
        <v>0</v>
      </c>
      <c r="S57" s="199">
        <f t="shared" si="6"/>
        <v>0</v>
      </c>
      <c r="T57" s="198">
        <f t="shared" si="7"/>
        <v>0</v>
      </c>
      <c r="U57" s="198"/>
      <c r="V57" s="198"/>
      <c r="W57" s="198">
        <f t="shared" si="8"/>
        <v>0</v>
      </c>
      <c r="X57" s="200"/>
    </row>
    <row r="58">
      <c r="A58" s="135"/>
      <c r="B58" s="135"/>
      <c r="C58" s="135"/>
      <c r="D58" s="195"/>
      <c r="E58" s="135" t="str">
        <f>IFERROR(VLOOKUP(C58,'Công T5'!$C$7:$F$89,4,0),"")</f>
        <v/>
      </c>
      <c r="F58" s="137" t="str">
        <f>IFERROR(__xludf.DUMMYFUNCTION("INDEX(FILTER('Công T5'!$B$8:$C$89,'Công T5'!$C$8:$C$89=C58),1,1)"),"")</f>
        <v/>
      </c>
      <c r="G58" s="138" t="str">
        <f>IFERROR(__xludf.DUMMYFUNCTION("IFERROR(INDEX(FILTER('Vân tay'!$A$5:$O270,'Vân tay'!$C$5:$C270=F58,'Vân tay'!$B$5:$B270=D58),1,10),"""")"),"")</f>
        <v/>
      </c>
      <c r="H58" s="138" t="str">
        <f>IFERROR(__xludf.DUMMYFUNCTION("IFERROR(INDEX(FILTER('Vân tay'!$A$5:$O270,'Vân tay'!$C$5:$C270=F58,'Vân tay'!$B$5:$B270=D58),1,11),"""")"),"")</f>
        <v/>
      </c>
      <c r="I58" s="138" t="str">
        <f>IFERROR(__xludf.DUMMYFUNCTION("IFERROR(INDEX(FILTER('Vân tay'!$A$5:$O270,'Vân tay'!$C$5:$C270=F58,'Vân tay'!$B$5:$B270=D58),1,14),"""")"),"")</f>
        <v/>
      </c>
      <c r="J58" s="138" t="str">
        <f>IFERROR(__xludf.DUMMYFUNCTION("IFERROR(INDEX(FILTER('Vân tay'!$A$5:$O270,'Vân tay'!$C$5:$C270=F58,'Vân tay'!$B$5:$B270=D58),1,15),"""")"),"")</f>
        <v/>
      </c>
      <c r="K58" s="196" t="str">
        <f t="shared" si="1"/>
        <v/>
      </c>
      <c r="L58" s="196" t="str">
        <f t="shared" si="2"/>
        <v/>
      </c>
      <c r="M58" s="197" t="str">
        <f t="shared" si="9"/>
        <v/>
      </c>
      <c r="N58" s="198" t="str">
        <f t="shared" si="3"/>
        <v/>
      </c>
      <c r="O58" s="198" t="str">
        <f t="shared" si="10"/>
        <v/>
      </c>
      <c r="P58" s="198"/>
      <c r="Q58" s="198">
        <f t="shared" si="4"/>
        <v>0</v>
      </c>
      <c r="R58" s="198">
        <f t="shared" si="5"/>
        <v>0</v>
      </c>
      <c r="S58" s="199">
        <f t="shared" si="6"/>
        <v>0</v>
      </c>
      <c r="T58" s="198">
        <f t="shared" si="7"/>
        <v>0</v>
      </c>
      <c r="U58" s="198"/>
      <c r="V58" s="198"/>
      <c r="W58" s="198">
        <f t="shared" si="8"/>
        <v>0</v>
      </c>
      <c r="X58" s="200"/>
    </row>
    <row r="59">
      <c r="A59" s="135"/>
      <c r="B59" s="135"/>
      <c r="C59" s="135"/>
      <c r="D59" s="195"/>
      <c r="E59" s="135" t="str">
        <f>IFERROR(VLOOKUP(C59,'Công T5'!$C$7:$F$89,4,0),"")</f>
        <v/>
      </c>
      <c r="F59" s="137" t="str">
        <f>IFERROR(__xludf.DUMMYFUNCTION("INDEX(FILTER('Công T5'!$B$8:$C$89,'Công T5'!$C$8:$C$89=C59),1,1)"),"")</f>
        <v/>
      </c>
      <c r="G59" s="138" t="str">
        <f>IFERROR(__xludf.DUMMYFUNCTION("IFERROR(INDEX(FILTER('Vân tay'!$A$5:$O270,'Vân tay'!$C$5:$C270=F59,'Vân tay'!$B$5:$B270=D59),1,10),"""")"),"")</f>
        <v/>
      </c>
      <c r="H59" s="138" t="str">
        <f>IFERROR(__xludf.DUMMYFUNCTION("IFERROR(INDEX(FILTER('Vân tay'!$A$5:$O270,'Vân tay'!$C$5:$C270=F59,'Vân tay'!$B$5:$B270=D59),1,11),"""")"),"")</f>
        <v/>
      </c>
      <c r="I59" s="138" t="str">
        <f>IFERROR(__xludf.DUMMYFUNCTION("IFERROR(INDEX(FILTER('Vân tay'!$A$5:$O270,'Vân tay'!$C$5:$C270=F59,'Vân tay'!$B$5:$B270=D59),1,14),"""")"),"")</f>
        <v/>
      </c>
      <c r="J59" s="138" t="str">
        <f>IFERROR(__xludf.DUMMYFUNCTION("IFERROR(INDEX(FILTER('Vân tay'!$A$5:$O270,'Vân tay'!$C$5:$C270=F59,'Vân tay'!$B$5:$B270=D59),1,15),"""")"),"")</f>
        <v/>
      </c>
      <c r="K59" s="196" t="str">
        <f t="shared" si="1"/>
        <v/>
      </c>
      <c r="L59" s="196" t="str">
        <f t="shared" si="2"/>
        <v/>
      </c>
      <c r="M59" s="197" t="str">
        <f t="shared" si="9"/>
        <v/>
      </c>
      <c r="N59" s="198" t="str">
        <f t="shared" si="3"/>
        <v/>
      </c>
      <c r="O59" s="198" t="str">
        <f t="shared" si="10"/>
        <v/>
      </c>
      <c r="P59" s="198"/>
      <c r="Q59" s="198">
        <f t="shared" si="4"/>
        <v>0</v>
      </c>
      <c r="R59" s="198">
        <f t="shared" si="5"/>
        <v>0</v>
      </c>
      <c r="S59" s="199">
        <f t="shared" si="6"/>
        <v>0</v>
      </c>
      <c r="T59" s="198">
        <f t="shared" si="7"/>
        <v>0</v>
      </c>
      <c r="U59" s="198"/>
      <c r="V59" s="198"/>
      <c r="W59" s="198">
        <f t="shared" si="8"/>
        <v>0</v>
      </c>
      <c r="X59" s="200"/>
    </row>
    <row r="60">
      <c r="A60" s="135"/>
      <c r="B60" s="135"/>
      <c r="C60" s="135"/>
      <c r="D60" s="195"/>
      <c r="E60" s="135" t="str">
        <f>IFERROR(VLOOKUP(C60,'Công T5'!$C$7:$F$89,4,0),"")</f>
        <v/>
      </c>
      <c r="F60" s="137" t="str">
        <f>IFERROR(__xludf.DUMMYFUNCTION("INDEX(FILTER('Công T5'!$B$8:$C$89,'Công T5'!$C$8:$C$89=C60),1,1)"),"")</f>
        <v/>
      </c>
      <c r="G60" s="138" t="str">
        <f>IFERROR(__xludf.DUMMYFUNCTION("IFERROR(INDEX(FILTER('Vân tay'!$A$5:$O270,'Vân tay'!$C$5:$C270=F60,'Vân tay'!$B$5:$B270=D60),1,10),"""")"),"")</f>
        <v/>
      </c>
      <c r="H60" s="138" t="str">
        <f>IFERROR(__xludf.DUMMYFUNCTION("IFERROR(INDEX(FILTER('Vân tay'!$A$5:$O270,'Vân tay'!$C$5:$C270=F60,'Vân tay'!$B$5:$B270=D60),1,11),"""")"),"")</f>
        <v/>
      </c>
      <c r="I60" s="138" t="str">
        <f>IFERROR(__xludf.DUMMYFUNCTION("IFERROR(INDEX(FILTER('Vân tay'!$A$5:$O270,'Vân tay'!$C$5:$C270=F60,'Vân tay'!$B$5:$B270=D60),1,14),"""")"),"")</f>
        <v/>
      </c>
      <c r="J60" s="138" t="str">
        <f>IFERROR(__xludf.DUMMYFUNCTION("IFERROR(INDEX(FILTER('Vân tay'!$A$5:$O270,'Vân tay'!$C$5:$C270=F60,'Vân tay'!$B$5:$B270=D60),1,15),"""")"),"")</f>
        <v/>
      </c>
      <c r="K60" s="196" t="str">
        <f t="shared" si="1"/>
        <v/>
      </c>
      <c r="L60" s="196" t="str">
        <f t="shared" si="2"/>
        <v/>
      </c>
      <c r="M60" s="197" t="str">
        <f t="shared" si="9"/>
        <v/>
      </c>
      <c r="N60" s="198" t="str">
        <f t="shared" si="3"/>
        <v/>
      </c>
      <c r="O60" s="198" t="str">
        <f t="shared" si="10"/>
        <v/>
      </c>
      <c r="P60" s="198"/>
      <c r="Q60" s="198">
        <f t="shared" si="4"/>
        <v>0</v>
      </c>
      <c r="R60" s="198">
        <f t="shared" si="5"/>
        <v>0</v>
      </c>
      <c r="S60" s="199">
        <f t="shared" si="6"/>
        <v>0</v>
      </c>
      <c r="T60" s="198">
        <f t="shared" si="7"/>
        <v>0</v>
      </c>
      <c r="U60" s="198"/>
      <c r="V60" s="198"/>
      <c r="W60" s="198">
        <f t="shared" si="8"/>
        <v>0</v>
      </c>
      <c r="X60" s="200"/>
    </row>
    <row r="61">
      <c r="A61" s="135"/>
      <c r="B61" s="135"/>
      <c r="C61" s="135"/>
      <c r="D61" s="195"/>
      <c r="E61" s="135" t="str">
        <f>IFERROR(VLOOKUP(C61,'Công T5'!$C$7:$F$89,4,0),"")</f>
        <v/>
      </c>
      <c r="F61" s="137" t="str">
        <f>IFERROR(__xludf.DUMMYFUNCTION("INDEX(FILTER('Công T5'!$B$8:$C$89,'Công T5'!$C$8:$C$89=C61),1,1)"),"")</f>
        <v/>
      </c>
      <c r="G61" s="138" t="str">
        <f>IFERROR(__xludf.DUMMYFUNCTION("IFERROR(INDEX(FILTER('Vân tay'!$A$5:$O270,'Vân tay'!$C$5:$C270=F61,'Vân tay'!$B$5:$B270=D61),1,10),"""")"),"")</f>
        <v/>
      </c>
      <c r="H61" s="138" t="str">
        <f>IFERROR(__xludf.DUMMYFUNCTION("IFERROR(INDEX(FILTER('Vân tay'!$A$5:$O270,'Vân tay'!$C$5:$C270=F61,'Vân tay'!$B$5:$B270=D61),1,11),"""")"),"")</f>
        <v/>
      </c>
      <c r="I61" s="138" t="str">
        <f>IFERROR(__xludf.DUMMYFUNCTION("IFERROR(INDEX(FILTER('Vân tay'!$A$5:$O270,'Vân tay'!$C$5:$C270=F61,'Vân tay'!$B$5:$B270=D61),1,14),"""")"),"")</f>
        <v/>
      </c>
      <c r="J61" s="138" t="str">
        <f>IFERROR(__xludf.DUMMYFUNCTION("IFERROR(INDEX(FILTER('Vân tay'!$A$5:$O270,'Vân tay'!$C$5:$C270=F61,'Vân tay'!$B$5:$B270=D61),1,15),"""")"),"")</f>
        <v/>
      </c>
      <c r="K61" s="196" t="str">
        <f t="shared" si="1"/>
        <v/>
      </c>
      <c r="L61" s="196" t="str">
        <f t="shared" si="2"/>
        <v/>
      </c>
      <c r="M61" s="197" t="str">
        <f t="shared" si="9"/>
        <v/>
      </c>
      <c r="N61" s="198" t="str">
        <f t="shared" si="3"/>
        <v/>
      </c>
      <c r="O61" s="198" t="str">
        <f t="shared" si="10"/>
        <v/>
      </c>
      <c r="P61" s="198"/>
      <c r="Q61" s="198">
        <f t="shared" si="4"/>
        <v>0</v>
      </c>
      <c r="R61" s="198">
        <f t="shared" si="5"/>
        <v>0</v>
      </c>
      <c r="S61" s="199">
        <f t="shared" si="6"/>
        <v>0</v>
      </c>
      <c r="T61" s="198">
        <f t="shared" si="7"/>
        <v>0</v>
      </c>
      <c r="U61" s="198"/>
      <c r="V61" s="198"/>
      <c r="W61" s="198">
        <f t="shared" si="8"/>
        <v>0</v>
      </c>
      <c r="X61" s="200"/>
    </row>
    <row r="62">
      <c r="A62" s="135"/>
      <c r="B62" s="135"/>
      <c r="C62" s="135"/>
      <c r="D62" s="195"/>
      <c r="E62" s="135" t="str">
        <f>IFERROR(VLOOKUP(C62,'Công T5'!$C$7:$F$89,4,0),"")</f>
        <v/>
      </c>
      <c r="F62" s="137" t="str">
        <f>IFERROR(__xludf.DUMMYFUNCTION("INDEX(FILTER('Công T5'!$B$8:$C$89,'Công T5'!$C$8:$C$89=C62),1,1)"),"")</f>
        <v/>
      </c>
      <c r="G62" s="138" t="str">
        <f>IFERROR(__xludf.DUMMYFUNCTION("IFERROR(INDEX(FILTER('Vân tay'!$A$5:$O270,'Vân tay'!$C$5:$C270=F62,'Vân tay'!$B$5:$B270=D62),1,10),"""")"),"")</f>
        <v/>
      </c>
      <c r="H62" s="138" t="str">
        <f>IFERROR(__xludf.DUMMYFUNCTION("IFERROR(INDEX(FILTER('Vân tay'!$A$5:$O270,'Vân tay'!$C$5:$C270=F62,'Vân tay'!$B$5:$B270=D62),1,11),"""")"),"")</f>
        <v/>
      </c>
      <c r="I62" s="138" t="str">
        <f>IFERROR(__xludf.DUMMYFUNCTION("IFERROR(INDEX(FILTER('Vân tay'!$A$5:$O270,'Vân tay'!$C$5:$C270=F62,'Vân tay'!$B$5:$B270=D62),1,14),"""")"),"")</f>
        <v/>
      </c>
      <c r="J62" s="138" t="str">
        <f>IFERROR(__xludf.DUMMYFUNCTION("IFERROR(INDEX(FILTER('Vân tay'!$A$5:$O270,'Vân tay'!$C$5:$C270=F62,'Vân tay'!$B$5:$B270=D62),1,15),"""")"),"")</f>
        <v/>
      </c>
      <c r="K62" s="196" t="str">
        <f t="shared" si="1"/>
        <v/>
      </c>
      <c r="L62" s="196" t="str">
        <f t="shared" si="2"/>
        <v/>
      </c>
      <c r="M62" s="197" t="str">
        <f t="shared" si="9"/>
        <v/>
      </c>
      <c r="N62" s="198" t="str">
        <f t="shared" si="3"/>
        <v/>
      </c>
      <c r="O62" s="198" t="str">
        <f t="shared" si="10"/>
        <v/>
      </c>
      <c r="P62" s="198"/>
      <c r="Q62" s="198">
        <f t="shared" si="4"/>
        <v>0</v>
      </c>
      <c r="R62" s="198">
        <f t="shared" si="5"/>
        <v>0</v>
      </c>
      <c r="S62" s="199">
        <f t="shared" si="6"/>
        <v>0</v>
      </c>
      <c r="T62" s="198">
        <f t="shared" si="7"/>
        <v>0</v>
      </c>
      <c r="U62" s="198"/>
      <c r="V62" s="198"/>
      <c r="W62" s="198">
        <f t="shared" si="8"/>
        <v>0</v>
      </c>
      <c r="X62" s="200"/>
    </row>
    <row r="63">
      <c r="A63" s="135"/>
      <c r="B63" s="135"/>
      <c r="C63" s="135"/>
      <c r="D63" s="195"/>
      <c r="E63" s="135" t="str">
        <f>IFERROR(VLOOKUP(C63,'Công T5'!$C$7:$F$89,4,0),"")</f>
        <v/>
      </c>
      <c r="F63" s="137" t="str">
        <f>IFERROR(__xludf.DUMMYFUNCTION("INDEX(FILTER('Công T5'!$B$8:$C$89,'Công T5'!$C$8:$C$89=C63),1,1)"),"")</f>
        <v/>
      </c>
      <c r="G63" s="138" t="str">
        <f>IFERROR(__xludf.DUMMYFUNCTION("IFERROR(INDEX(FILTER('Vân tay'!$A$5:$O270,'Vân tay'!$C$5:$C270=F63,'Vân tay'!$B$5:$B270=D63),1,10),"""")"),"")</f>
        <v/>
      </c>
      <c r="H63" s="138" t="str">
        <f>IFERROR(__xludf.DUMMYFUNCTION("IFERROR(INDEX(FILTER('Vân tay'!$A$5:$O270,'Vân tay'!$C$5:$C270=F63,'Vân tay'!$B$5:$B270=D63),1,11),"""")"),"")</f>
        <v/>
      </c>
      <c r="I63" s="138" t="str">
        <f>IFERROR(__xludf.DUMMYFUNCTION("IFERROR(INDEX(FILTER('Vân tay'!$A$5:$O270,'Vân tay'!$C$5:$C270=F63,'Vân tay'!$B$5:$B270=D63),1,14),"""")"),"")</f>
        <v/>
      </c>
      <c r="J63" s="138" t="str">
        <f>IFERROR(__xludf.DUMMYFUNCTION("IFERROR(INDEX(FILTER('Vân tay'!$A$5:$O270,'Vân tay'!$C$5:$C270=F63,'Vân tay'!$B$5:$B270=D63),1,15),"""")"),"")</f>
        <v/>
      </c>
      <c r="K63" s="196" t="str">
        <f t="shared" si="1"/>
        <v/>
      </c>
      <c r="L63" s="196" t="str">
        <f t="shared" si="2"/>
        <v/>
      </c>
      <c r="M63" s="197" t="str">
        <f t="shared" si="9"/>
        <v/>
      </c>
      <c r="N63" s="198" t="str">
        <f t="shared" si="3"/>
        <v/>
      </c>
      <c r="O63" s="198" t="str">
        <f t="shared" si="10"/>
        <v/>
      </c>
      <c r="P63" s="198"/>
      <c r="Q63" s="198">
        <f t="shared" si="4"/>
        <v>0</v>
      </c>
      <c r="R63" s="198">
        <f t="shared" si="5"/>
        <v>0</v>
      </c>
      <c r="S63" s="199">
        <f t="shared" si="6"/>
        <v>0</v>
      </c>
      <c r="T63" s="198">
        <f t="shared" si="7"/>
        <v>0</v>
      </c>
      <c r="U63" s="198"/>
      <c r="V63" s="198"/>
      <c r="W63" s="198">
        <f t="shared" si="8"/>
        <v>0</v>
      </c>
      <c r="X63" s="200"/>
    </row>
    <row r="64">
      <c r="A64" s="135"/>
      <c r="B64" s="135"/>
      <c r="C64" s="135"/>
      <c r="D64" s="195"/>
      <c r="E64" s="135" t="str">
        <f>IFERROR(VLOOKUP(C64,'Công T5'!$C$7:$F$89,4,0),"")</f>
        <v/>
      </c>
      <c r="F64" s="137" t="str">
        <f>IFERROR(__xludf.DUMMYFUNCTION("INDEX(FILTER('Công T5'!$B$8:$C$89,'Công T5'!$C$8:$C$89=C64),1,1)"),"")</f>
        <v/>
      </c>
      <c r="G64" s="138" t="str">
        <f>IFERROR(__xludf.DUMMYFUNCTION("IFERROR(INDEX(FILTER('Vân tay'!$A$5:$O270,'Vân tay'!$C$5:$C270=F64,'Vân tay'!$B$5:$B270=D64),1,10),"""")"),"")</f>
        <v/>
      </c>
      <c r="H64" s="138" t="str">
        <f>IFERROR(__xludf.DUMMYFUNCTION("IFERROR(INDEX(FILTER('Vân tay'!$A$5:$O270,'Vân tay'!$C$5:$C270=F64,'Vân tay'!$B$5:$B270=D64),1,11),"""")"),"")</f>
        <v/>
      </c>
      <c r="I64" s="138" t="str">
        <f>IFERROR(__xludf.DUMMYFUNCTION("IFERROR(INDEX(FILTER('Vân tay'!$A$5:$O270,'Vân tay'!$C$5:$C270=F64,'Vân tay'!$B$5:$B270=D64),1,14),"""")"),"")</f>
        <v/>
      </c>
      <c r="J64" s="138" t="str">
        <f>IFERROR(__xludf.DUMMYFUNCTION("IFERROR(INDEX(FILTER('Vân tay'!$A$5:$O270,'Vân tay'!$C$5:$C270=F64,'Vân tay'!$B$5:$B270=D64),1,15),"""")"),"")</f>
        <v/>
      </c>
      <c r="K64" s="196" t="str">
        <f t="shared" si="1"/>
        <v/>
      </c>
      <c r="L64" s="196" t="str">
        <f t="shared" si="2"/>
        <v/>
      </c>
      <c r="M64" s="197" t="str">
        <f t="shared" si="9"/>
        <v/>
      </c>
      <c r="N64" s="198" t="str">
        <f t="shared" si="3"/>
        <v/>
      </c>
      <c r="O64" s="198" t="str">
        <f t="shared" si="10"/>
        <v/>
      </c>
      <c r="P64" s="198"/>
      <c r="Q64" s="198">
        <f t="shared" si="4"/>
        <v>0</v>
      </c>
      <c r="R64" s="198">
        <f t="shared" si="5"/>
        <v>0</v>
      </c>
      <c r="S64" s="199">
        <f t="shared" si="6"/>
        <v>0</v>
      </c>
      <c r="T64" s="198">
        <f t="shared" si="7"/>
        <v>0</v>
      </c>
      <c r="U64" s="198"/>
      <c r="V64" s="198"/>
      <c r="W64" s="198">
        <f t="shared" si="8"/>
        <v>0</v>
      </c>
      <c r="X64" s="200"/>
    </row>
    <row r="65">
      <c r="A65" s="135"/>
      <c r="B65" s="135"/>
      <c r="C65" s="135"/>
      <c r="D65" s="195"/>
      <c r="E65" s="135" t="str">
        <f>IFERROR(VLOOKUP(C65,'Công T5'!$C$7:$F$89,4,0),"")</f>
        <v/>
      </c>
      <c r="F65" s="137" t="str">
        <f>IFERROR(__xludf.DUMMYFUNCTION("INDEX(FILTER('Công T5'!$B$8:$C$89,'Công T5'!$C$8:$C$89=C65),1,1)"),"")</f>
        <v/>
      </c>
      <c r="G65" s="138" t="str">
        <f>IFERROR(__xludf.DUMMYFUNCTION("IFERROR(INDEX(FILTER('Vân tay'!$A$5:$O270,'Vân tay'!$C$5:$C270=F65,'Vân tay'!$B$5:$B270=D65),1,10),"""")"),"")</f>
        <v/>
      </c>
      <c r="H65" s="138" t="str">
        <f>IFERROR(__xludf.DUMMYFUNCTION("IFERROR(INDEX(FILTER('Vân tay'!$A$5:$O270,'Vân tay'!$C$5:$C270=F65,'Vân tay'!$B$5:$B270=D65),1,11),"""")"),"")</f>
        <v/>
      </c>
      <c r="I65" s="138" t="str">
        <f>IFERROR(__xludf.DUMMYFUNCTION("IFERROR(INDEX(FILTER('Vân tay'!$A$5:$O270,'Vân tay'!$C$5:$C270=F65,'Vân tay'!$B$5:$B270=D65),1,14),"""")"),"")</f>
        <v/>
      </c>
      <c r="J65" s="138" t="str">
        <f>IFERROR(__xludf.DUMMYFUNCTION("IFERROR(INDEX(FILTER('Vân tay'!$A$5:$O270,'Vân tay'!$C$5:$C270=F65,'Vân tay'!$B$5:$B270=D65),1,15),"""")"),"")</f>
        <v/>
      </c>
      <c r="K65" s="196" t="str">
        <f t="shared" si="1"/>
        <v/>
      </c>
      <c r="L65" s="196" t="str">
        <f t="shared" si="2"/>
        <v/>
      </c>
      <c r="M65" s="197" t="str">
        <f t="shared" si="9"/>
        <v/>
      </c>
      <c r="N65" s="198" t="str">
        <f t="shared" si="3"/>
        <v/>
      </c>
      <c r="O65" s="198" t="str">
        <f t="shared" si="10"/>
        <v/>
      </c>
      <c r="P65" s="198"/>
      <c r="Q65" s="198">
        <f t="shared" si="4"/>
        <v>0</v>
      </c>
      <c r="R65" s="198">
        <f t="shared" si="5"/>
        <v>0</v>
      </c>
      <c r="S65" s="199">
        <f t="shared" si="6"/>
        <v>0</v>
      </c>
      <c r="T65" s="198">
        <f t="shared" si="7"/>
        <v>0</v>
      </c>
      <c r="U65" s="198"/>
      <c r="V65" s="198"/>
      <c r="W65" s="198">
        <f t="shared" si="8"/>
        <v>0</v>
      </c>
      <c r="X65" s="200"/>
    </row>
    <row r="66">
      <c r="A66" s="135"/>
      <c r="B66" s="135"/>
      <c r="C66" s="135"/>
      <c r="D66" s="195"/>
      <c r="E66" s="135" t="str">
        <f>IFERROR(VLOOKUP(C66,'Công T5'!$C$7:$F$89,4,0),"")</f>
        <v/>
      </c>
      <c r="F66" s="137" t="str">
        <f>IFERROR(__xludf.DUMMYFUNCTION("INDEX(FILTER('Công T5'!$B$8:$C$89,'Công T5'!$C$8:$C$89=C66),1,1)"),"")</f>
        <v/>
      </c>
      <c r="G66" s="138" t="str">
        <f>IFERROR(__xludf.DUMMYFUNCTION("IFERROR(INDEX(FILTER('Vân tay'!$A$5:$O270,'Vân tay'!$C$5:$C270=F66,'Vân tay'!$B$5:$B270=D66),1,10),"""")"),"")</f>
        <v/>
      </c>
      <c r="H66" s="138" t="str">
        <f>IFERROR(__xludf.DUMMYFUNCTION("IFERROR(INDEX(FILTER('Vân tay'!$A$5:$O270,'Vân tay'!$C$5:$C270=F66,'Vân tay'!$B$5:$B270=D66),1,11),"""")"),"")</f>
        <v/>
      </c>
      <c r="I66" s="138" t="str">
        <f>IFERROR(__xludf.DUMMYFUNCTION("IFERROR(INDEX(FILTER('Vân tay'!$A$5:$O270,'Vân tay'!$C$5:$C270=F66,'Vân tay'!$B$5:$B270=D66),1,14),"""")"),"")</f>
        <v/>
      </c>
      <c r="J66" s="138" t="str">
        <f>IFERROR(__xludf.DUMMYFUNCTION("IFERROR(INDEX(FILTER('Vân tay'!$A$5:$O270,'Vân tay'!$C$5:$C270=F66,'Vân tay'!$B$5:$B270=D66),1,15),"""")"),"")</f>
        <v/>
      </c>
      <c r="K66" s="196" t="str">
        <f t="shared" si="1"/>
        <v/>
      </c>
      <c r="L66" s="196" t="str">
        <f t="shared" si="2"/>
        <v/>
      </c>
      <c r="M66" s="197" t="str">
        <f t="shared" si="9"/>
        <v/>
      </c>
      <c r="N66" s="198" t="str">
        <f t="shared" si="3"/>
        <v/>
      </c>
      <c r="O66" s="198" t="str">
        <f t="shared" si="10"/>
        <v/>
      </c>
      <c r="P66" s="198"/>
      <c r="Q66" s="198">
        <f t="shared" si="4"/>
        <v>0</v>
      </c>
      <c r="R66" s="198">
        <f t="shared" si="5"/>
        <v>0</v>
      </c>
      <c r="S66" s="199">
        <f t="shared" si="6"/>
        <v>0</v>
      </c>
      <c r="T66" s="198">
        <f t="shared" si="7"/>
        <v>0</v>
      </c>
      <c r="U66" s="198"/>
      <c r="V66" s="198"/>
      <c r="W66" s="198">
        <f t="shared" si="8"/>
        <v>0</v>
      </c>
      <c r="X66" s="200"/>
    </row>
    <row r="67">
      <c r="A67" s="135"/>
      <c r="B67" s="135"/>
      <c r="C67" s="135"/>
      <c r="D67" s="195"/>
      <c r="E67" s="135" t="str">
        <f>IFERROR(VLOOKUP(C67,'Công T5'!$C$7:$F$89,4,0),"")</f>
        <v/>
      </c>
      <c r="F67" s="137" t="str">
        <f>IFERROR(__xludf.DUMMYFUNCTION("INDEX(FILTER('Công T5'!$B$8:$C$89,'Công T5'!$C$8:$C$89=C67),1,1)"),"")</f>
        <v/>
      </c>
      <c r="G67" s="138" t="str">
        <f>IFERROR(__xludf.DUMMYFUNCTION("IFERROR(INDEX(FILTER('Vân tay'!$A$5:$O270,'Vân tay'!$C$5:$C270=F67,'Vân tay'!$B$5:$B270=D67),1,10),"""")"),"")</f>
        <v/>
      </c>
      <c r="H67" s="138" t="str">
        <f>IFERROR(__xludf.DUMMYFUNCTION("IFERROR(INDEX(FILTER('Vân tay'!$A$5:$O270,'Vân tay'!$C$5:$C270=F67,'Vân tay'!$B$5:$B270=D67),1,11),"""")"),"")</f>
        <v/>
      </c>
      <c r="I67" s="138" t="str">
        <f>IFERROR(__xludf.DUMMYFUNCTION("IFERROR(INDEX(FILTER('Vân tay'!$A$5:$O270,'Vân tay'!$C$5:$C270=F67,'Vân tay'!$B$5:$B270=D67),1,14),"""")"),"")</f>
        <v/>
      </c>
      <c r="J67" s="138" t="str">
        <f>IFERROR(__xludf.DUMMYFUNCTION("IFERROR(INDEX(FILTER('Vân tay'!$A$5:$O270,'Vân tay'!$C$5:$C270=F67,'Vân tay'!$B$5:$B270=D67),1,15),"""")"),"")</f>
        <v/>
      </c>
      <c r="K67" s="196" t="str">
        <f t="shared" si="1"/>
        <v/>
      </c>
      <c r="L67" s="196" t="str">
        <f t="shared" si="2"/>
        <v/>
      </c>
      <c r="M67" s="197" t="str">
        <f t="shared" si="9"/>
        <v/>
      </c>
      <c r="N67" s="198" t="str">
        <f t="shared" si="3"/>
        <v/>
      </c>
      <c r="O67" s="198" t="str">
        <f t="shared" si="10"/>
        <v/>
      </c>
      <c r="P67" s="198"/>
      <c r="Q67" s="198">
        <f t="shared" si="4"/>
        <v>0</v>
      </c>
      <c r="R67" s="198">
        <f t="shared" si="5"/>
        <v>0</v>
      </c>
      <c r="S67" s="199">
        <f t="shared" si="6"/>
        <v>0</v>
      </c>
      <c r="T67" s="198">
        <f t="shared" si="7"/>
        <v>0</v>
      </c>
      <c r="U67" s="198"/>
      <c r="V67" s="198"/>
      <c r="W67" s="198">
        <f t="shared" si="8"/>
        <v>0</v>
      </c>
      <c r="X67" s="200"/>
    </row>
    <row r="68">
      <c r="A68" s="135"/>
      <c r="B68" s="135"/>
      <c r="C68" s="135"/>
      <c r="D68" s="195"/>
      <c r="E68" s="135" t="str">
        <f>IFERROR(VLOOKUP(C68,'Công T5'!$C$7:$F$89,4,0),"")</f>
        <v/>
      </c>
      <c r="F68" s="137" t="str">
        <f>IFERROR(__xludf.DUMMYFUNCTION("INDEX(FILTER('Công T5'!$B$8:$C$89,'Công T5'!$C$8:$C$89=C68),1,1)"),"")</f>
        <v/>
      </c>
      <c r="G68" s="138" t="str">
        <f>IFERROR(__xludf.DUMMYFUNCTION("IFERROR(INDEX(FILTER('Vân tay'!$A$5:$O270,'Vân tay'!$C$5:$C270=F68,'Vân tay'!$B$5:$B270=D68),1,10),"""")"),"")</f>
        <v/>
      </c>
      <c r="H68" s="138" t="str">
        <f>IFERROR(__xludf.DUMMYFUNCTION("IFERROR(INDEX(FILTER('Vân tay'!$A$5:$O270,'Vân tay'!$C$5:$C270=F68,'Vân tay'!$B$5:$B270=D68),1,11),"""")"),"")</f>
        <v/>
      </c>
      <c r="I68" s="138" t="str">
        <f>IFERROR(__xludf.DUMMYFUNCTION("IFERROR(INDEX(FILTER('Vân tay'!$A$5:$O270,'Vân tay'!$C$5:$C270=F68,'Vân tay'!$B$5:$B270=D68),1,14),"""")"),"")</f>
        <v/>
      </c>
      <c r="J68" s="138" t="str">
        <f>IFERROR(__xludf.DUMMYFUNCTION("IFERROR(INDEX(FILTER('Vân tay'!$A$5:$O270,'Vân tay'!$C$5:$C270=F68,'Vân tay'!$B$5:$B270=D68),1,15),"""")"),"")</f>
        <v/>
      </c>
      <c r="K68" s="196" t="str">
        <f t="shared" si="1"/>
        <v/>
      </c>
      <c r="L68" s="196" t="str">
        <f t="shared" si="2"/>
        <v/>
      </c>
      <c r="M68" s="197" t="str">
        <f t="shared" si="9"/>
        <v/>
      </c>
      <c r="N68" s="198" t="str">
        <f t="shared" si="3"/>
        <v/>
      </c>
      <c r="O68" s="198" t="str">
        <f t="shared" si="10"/>
        <v/>
      </c>
      <c r="P68" s="198"/>
      <c r="Q68" s="198">
        <f t="shared" si="4"/>
        <v>0</v>
      </c>
      <c r="R68" s="198">
        <f t="shared" si="5"/>
        <v>0</v>
      </c>
      <c r="S68" s="199">
        <f t="shared" si="6"/>
        <v>0</v>
      </c>
      <c r="T68" s="198">
        <f t="shared" si="7"/>
        <v>0</v>
      </c>
      <c r="U68" s="198"/>
      <c r="V68" s="198"/>
      <c r="W68" s="198">
        <f t="shared" si="8"/>
        <v>0</v>
      </c>
      <c r="X68" s="200"/>
    </row>
    <row r="69">
      <c r="A69" s="135"/>
      <c r="B69" s="135"/>
      <c r="C69" s="135"/>
      <c r="D69" s="195"/>
      <c r="E69" s="135" t="str">
        <f>IFERROR(VLOOKUP(C69,'Công T5'!$C$7:$F$89,4,0),"")</f>
        <v/>
      </c>
      <c r="F69" s="137" t="str">
        <f>IFERROR(__xludf.DUMMYFUNCTION("INDEX(FILTER('Công T5'!$B$8:$C$89,'Công T5'!$C$8:$C$89=C69),1,1)"),"")</f>
        <v/>
      </c>
      <c r="G69" s="138" t="str">
        <f>IFERROR(__xludf.DUMMYFUNCTION("IFERROR(INDEX(FILTER('Vân tay'!$A$5:$O270,'Vân tay'!$C$5:$C270=F69,'Vân tay'!$B$5:$B270=D69),1,10),"""")"),"")</f>
        <v/>
      </c>
      <c r="H69" s="138" t="str">
        <f>IFERROR(__xludf.DUMMYFUNCTION("IFERROR(INDEX(FILTER('Vân tay'!$A$5:$O270,'Vân tay'!$C$5:$C270=F69,'Vân tay'!$B$5:$B270=D69),1,11),"""")"),"")</f>
        <v/>
      </c>
      <c r="I69" s="138" t="str">
        <f>IFERROR(__xludf.DUMMYFUNCTION("IFERROR(INDEX(FILTER('Vân tay'!$A$5:$O270,'Vân tay'!$C$5:$C270=F69,'Vân tay'!$B$5:$B270=D69),1,14),"""")"),"")</f>
        <v/>
      </c>
      <c r="J69" s="138" t="str">
        <f>IFERROR(__xludf.DUMMYFUNCTION("IFERROR(INDEX(FILTER('Vân tay'!$A$5:$O270,'Vân tay'!$C$5:$C270=F69,'Vân tay'!$B$5:$B270=D69),1,15),"""")"),"")</f>
        <v/>
      </c>
      <c r="K69" s="196" t="str">
        <f t="shared" si="1"/>
        <v/>
      </c>
      <c r="L69" s="196" t="str">
        <f t="shared" si="2"/>
        <v/>
      </c>
      <c r="M69" s="197" t="str">
        <f t="shared" si="9"/>
        <v/>
      </c>
      <c r="N69" s="198" t="str">
        <f t="shared" si="3"/>
        <v/>
      </c>
      <c r="O69" s="198" t="str">
        <f t="shared" si="10"/>
        <v/>
      </c>
      <c r="P69" s="198"/>
      <c r="Q69" s="198">
        <f t="shared" si="4"/>
        <v>0</v>
      </c>
      <c r="R69" s="198">
        <f t="shared" si="5"/>
        <v>0</v>
      </c>
      <c r="S69" s="199">
        <f t="shared" si="6"/>
        <v>0</v>
      </c>
      <c r="T69" s="198">
        <f t="shared" si="7"/>
        <v>0</v>
      </c>
      <c r="U69" s="198"/>
      <c r="V69" s="198"/>
      <c r="W69" s="198">
        <f t="shared" si="8"/>
        <v>0</v>
      </c>
      <c r="X69" s="200"/>
    </row>
    <row r="70">
      <c r="A70" s="135"/>
      <c r="B70" s="135"/>
      <c r="C70" s="135"/>
      <c r="D70" s="195"/>
      <c r="E70" s="135" t="str">
        <f>IFERROR(VLOOKUP(C70,'Công T5'!$C$7:$F$89,4,0),"")</f>
        <v/>
      </c>
      <c r="F70" s="137" t="str">
        <f>IFERROR(__xludf.DUMMYFUNCTION("INDEX(FILTER('Công T5'!$B$8:$C$89,'Công T5'!$C$8:$C$89=C70),1,1)"),"")</f>
        <v/>
      </c>
      <c r="G70" s="138" t="str">
        <f>IFERROR(__xludf.DUMMYFUNCTION("IFERROR(INDEX(FILTER('Vân tay'!$A$5:$O270,'Vân tay'!$C$5:$C270=F70,'Vân tay'!$B$5:$B270=D70),1,10),"""")"),"")</f>
        <v/>
      </c>
      <c r="H70" s="138" t="str">
        <f>IFERROR(__xludf.DUMMYFUNCTION("IFERROR(INDEX(FILTER('Vân tay'!$A$5:$O270,'Vân tay'!$C$5:$C270=F70,'Vân tay'!$B$5:$B270=D70),1,11),"""")"),"")</f>
        <v/>
      </c>
      <c r="I70" s="138" t="str">
        <f>IFERROR(__xludf.DUMMYFUNCTION("IFERROR(INDEX(FILTER('Vân tay'!$A$5:$O270,'Vân tay'!$C$5:$C270=F70,'Vân tay'!$B$5:$B270=D70),1,14),"""")"),"")</f>
        <v/>
      </c>
      <c r="J70" s="138" t="str">
        <f>IFERROR(__xludf.DUMMYFUNCTION("IFERROR(INDEX(FILTER('Vân tay'!$A$5:$O270,'Vân tay'!$C$5:$C270=F70,'Vân tay'!$B$5:$B270=D70),1,15),"""")"),"")</f>
        <v/>
      </c>
      <c r="K70" s="196" t="str">
        <f t="shared" si="1"/>
        <v/>
      </c>
      <c r="L70" s="196" t="str">
        <f t="shared" si="2"/>
        <v/>
      </c>
      <c r="M70" s="197" t="str">
        <f t="shared" si="9"/>
        <v/>
      </c>
      <c r="N70" s="198" t="str">
        <f t="shared" si="3"/>
        <v/>
      </c>
      <c r="O70" s="198" t="str">
        <f t="shared" si="10"/>
        <v/>
      </c>
      <c r="P70" s="198"/>
      <c r="Q70" s="198">
        <f t="shared" si="4"/>
        <v>0</v>
      </c>
      <c r="R70" s="198">
        <f t="shared" si="5"/>
        <v>0</v>
      </c>
      <c r="S70" s="199">
        <f t="shared" si="6"/>
        <v>0</v>
      </c>
      <c r="T70" s="198">
        <f t="shared" si="7"/>
        <v>0</v>
      </c>
      <c r="U70" s="198"/>
      <c r="V70" s="198"/>
      <c r="W70" s="198">
        <f t="shared" si="8"/>
        <v>0</v>
      </c>
      <c r="X70" s="200"/>
    </row>
    <row r="71">
      <c r="A71" s="135"/>
      <c r="B71" s="135"/>
      <c r="C71" s="135"/>
      <c r="D71" s="195"/>
      <c r="E71" s="135" t="str">
        <f>IFERROR(VLOOKUP(C71,'Công T5'!$C$7:$F$89,4,0),"")</f>
        <v/>
      </c>
      <c r="F71" s="137" t="str">
        <f>IFERROR(__xludf.DUMMYFUNCTION("INDEX(FILTER('Công T5'!$B$8:$C$89,'Công T5'!$C$8:$C$89=C71),1,1)"),"")</f>
        <v/>
      </c>
      <c r="G71" s="138" t="str">
        <f>IFERROR(__xludf.DUMMYFUNCTION("IFERROR(INDEX(FILTER('Vân tay'!$A$5:$O270,'Vân tay'!$C$5:$C270=F71,'Vân tay'!$B$5:$B270=D71),1,10),"""")"),"")</f>
        <v/>
      </c>
      <c r="H71" s="138" t="str">
        <f>IFERROR(__xludf.DUMMYFUNCTION("IFERROR(INDEX(FILTER('Vân tay'!$A$5:$O270,'Vân tay'!$C$5:$C270=F71,'Vân tay'!$B$5:$B270=D71),1,11),"""")"),"")</f>
        <v/>
      </c>
      <c r="I71" s="138" t="str">
        <f>IFERROR(__xludf.DUMMYFUNCTION("IFERROR(INDEX(FILTER('Vân tay'!$A$5:$O270,'Vân tay'!$C$5:$C270=F71,'Vân tay'!$B$5:$B270=D71),1,14),"""")"),"")</f>
        <v/>
      </c>
      <c r="J71" s="138" t="str">
        <f>IFERROR(__xludf.DUMMYFUNCTION("IFERROR(INDEX(FILTER('Vân tay'!$A$5:$O270,'Vân tay'!$C$5:$C270=F71,'Vân tay'!$B$5:$B270=D71),1,15),"""")"),"")</f>
        <v/>
      </c>
      <c r="K71" s="196" t="str">
        <f t="shared" si="1"/>
        <v/>
      </c>
      <c r="L71" s="196" t="str">
        <f t="shared" si="2"/>
        <v/>
      </c>
      <c r="M71" s="197" t="str">
        <f t="shared" si="9"/>
        <v/>
      </c>
      <c r="N71" s="198" t="str">
        <f t="shared" si="3"/>
        <v/>
      </c>
      <c r="O71" s="198" t="str">
        <f t="shared" si="10"/>
        <v/>
      </c>
      <c r="P71" s="198"/>
      <c r="Q71" s="198">
        <f t="shared" si="4"/>
        <v>0</v>
      </c>
      <c r="R71" s="198">
        <f t="shared" si="5"/>
        <v>0</v>
      </c>
      <c r="S71" s="199">
        <f t="shared" si="6"/>
        <v>0</v>
      </c>
      <c r="T71" s="198">
        <f t="shared" si="7"/>
        <v>0</v>
      </c>
      <c r="U71" s="198"/>
      <c r="V71" s="198"/>
      <c r="W71" s="198">
        <f t="shared" si="8"/>
        <v>0</v>
      </c>
      <c r="X71" s="200"/>
    </row>
    <row r="72">
      <c r="A72" s="135"/>
      <c r="B72" s="135"/>
      <c r="C72" s="135"/>
      <c r="D72" s="195"/>
      <c r="E72" s="135" t="str">
        <f>IFERROR(VLOOKUP(C72,'Công T5'!$C$7:$F$89,4,0),"")</f>
        <v/>
      </c>
      <c r="F72" s="137" t="str">
        <f>IFERROR(__xludf.DUMMYFUNCTION("INDEX(FILTER('Công T5'!$B$8:$C$89,'Công T5'!$C$8:$C$89=C72),1,1)"),"")</f>
        <v/>
      </c>
      <c r="G72" s="138" t="str">
        <f>IFERROR(__xludf.DUMMYFUNCTION("IFERROR(INDEX(FILTER('Vân tay'!$A$5:$O270,'Vân tay'!$C$5:$C270=F72,'Vân tay'!$B$5:$B270=D72),1,10),"""")"),"")</f>
        <v/>
      </c>
      <c r="H72" s="138" t="str">
        <f>IFERROR(__xludf.DUMMYFUNCTION("IFERROR(INDEX(FILTER('Vân tay'!$A$5:$O270,'Vân tay'!$C$5:$C270=F72,'Vân tay'!$B$5:$B270=D72),1,11),"""")"),"")</f>
        <v/>
      </c>
      <c r="I72" s="138" t="str">
        <f>IFERROR(__xludf.DUMMYFUNCTION("IFERROR(INDEX(FILTER('Vân tay'!$A$5:$O270,'Vân tay'!$C$5:$C270=F72,'Vân tay'!$B$5:$B270=D72),1,14),"""")"),"")</f>
        <v/>
      </c>
      <c r="J72" s="138" t="str">
        <f>IFERROR(__xludf.DUMMYFUNCTION("IFERROR(INDEX(FILTER('Vân tay'!$A$5:$O270,'Vân tay'!$C$5:$C270=F72,'Vân tay'!$B$5:$B270=D72),1,15),"""")"),"")</f>
        <v/>
      </c>
      <c r="K72" s="196" t="str">
        <f t="shared" si="1"/>
        <v/>
      </c>
      <c r="L72" s="196" t="str">
        <f t="shared" si="2"/>
        <v/>
      </c>
      <c r="M72" s="197" t="str">
        <f t="shared" si="9"/>
        <v/>
      </c>
      <c r="N72" s="198" t="str">
        <f t="shared" si="3"/>
        <v/>
      </c>
      <c r="O72" s="198" t="str">
        <f t="shared" si="10"/>
        <v/>
      </c>
      <c r="P72" s="198"/>
      <c r="Q72" s="198">
        <f t="shared" si="4"/>
        <v>0</v>
      </c>
      <c r="R72" s="198">
        <f t="shared" si="5"/>
        <v>0</v>
      </c>
      <c r="S72" s="199">
        <f t="shared" si="6"/>
        <v>0</v>
      </c>
      <c r="T72" s="198">
        <f t="shared" si="7"/>
        <v>0</v>
      </c>
      <c r="U72" s="198"/>
      <c r="V72" s="198"/>
      <c r="W72" s="198">
        <f t="shared" si="8"/>
        <v>0</v>
      </c>
      <c r="X72" s="200"/>
    </row>
    <row r="73">
      <c r="A73" s="135"/>
      <c r="B73" s="135"/>
      <c r="C73" s="135"/>
      <c r="D73" s="195"/>
      <c r="E73" s="135" t="str">
        <f>IFERROR(VLOOKUP(C73,'Công T5'!$C$7:$F$89,4,0),"")</f>
        <v/>
      </c>
      <c r="F73" s="137" t="str">
        <f>IFERROR(__xludf.DUMMYFUNCTION("INDEX(FILTER('Công T5'!$B$8:$C$89,'Công T5'!$C$8:$C$89=C73),1,1)"),"")</f>
        <v/>
      </c>
      <c r="G73" s="138" t="str">
        <f>IFERROR(__xludf.DUMMYFUNCTION("IFERROR(INDEX(FILTER('Vân tay'!$A$5:$O270,'Vân tay'!$C$5:$C270=F73,'Vân tay'!$B$5:$B270=D73),1,10),"""")"),"")</f>
        <v/>
      </c>
      <c r="H73" s="138" t="str">
        <f>IFERROR(__xludf.DUMMYFUNCTION("IFERROR(INDEX(FILTER('Vân tay'!$A$5:$O270,'Vân tay'!$C$5:$C270=F73,'Vân tay'!$B$5:$B270=D73),1,11),"""")"),"")</f>
        <v/>
      </c>
      <c r="I73" s="138" t="str">
        <f>IFERROR(__xludf.DUMMYFUNCTION("IFERROR(INDEX(FILTER('Vân tay'!$A$5:$O270,'Vân tay'!$C$5:$C270=F73,'Vân tay'!$B$5:$B270=D73),1,14),"""")"),"")</f>
        <v/>
      </c>
      <c r="J73" s="138" t="str">
        <f>IFERROR(__xludf.DUMMYFUNCTION("IFERROR(INDEX(FILTER('Vân tay'!$A$5:$O270,'Vân tay'!$C$5:$C270=F73,'Vân tay'!$B$5:$B270=D73),1,15),"""")"),"")</f>
        <v/>
      </c>
      <c r="K73" s="196" t="str">
        <f t="shared" si="1"/>
        <v/>
      </c>
      <c r="L73" s="196" t="str">
        <f t="shared" si="2"/>
        <v/>
      </c>
      <c r="M73" s="197" t="str">
        <f t="shared" si="9"/>
        <v/>
      </c>
      <c r="N73" s="198" t="str">
        <f t="shared" si="3"/>
        <v/>
      </c>
      <c r="O73" s="198" t="str">
        <f t="shared" si="10"/>
        <v/>
      </c>
      <c r="P73" s="198"/>
      <c r="Q73" s="198">
        <f t="shared" si="4"/>
        <v>0</v>
      </c>
      <c r="R73" s="198">
        <f t="shared" si="5"/>
        <v>0</v>
      </c>
      <c r="S73" s="199">
        <f t="shared" si="6"/>
        <v>0</v>
      </c>
      <c r="T73" s="198">
        <f t="shared" si="7"/>
        <v>0</v>
      </c>
      <c r="U73" s="198"/>
      <c r="V73" s="198"/>
      <c r="W73" s="198">
        <f t="shared" si="8"/>
        <v>0</v>
      </c>
      <c r="X73" s="200"/>
    </row>
    <row r="74">
      <c r="A74" s="135"/>
      <c r="B74" s="135"/>
      <c r="C74" s="135"/>
      <c r="D74" s="195"/>
      <c r="E74" s="135" t="str">
        <f>IFERROR(VLOOKUP(C74,'Công T5'!$C$7:$F$89,4,0),"")</f>
        <v/>
      </c>
      <c r="F74" s="137" t="str">
        <f>IFERROR(__xludf.DUMMYFUNCTION("INDEX(FILTER('Công T5'!$B$8:$C$89,'Công T5'!$C$8:$C$89=C74),1,1)"),"")</f>
        <v/>
      </c>
      <c r="G74" s="138" t="str">
        <f>IFERROR(__xludf.DUMMYFUNCTION("IFERROR(INDEX(FILTER('Vân tay'!$A$5:$O270,'Vân tay'!$C$5:$C270=F74,'Vân tay'!$B$5:$B270=D74),1,10),"""")"),"")</f>
        <v/>
      </c>
      <c r="H74" s="138" t="str">
        <f>IFERROR(__xludf.DUMMYFUNCTION("IFERROR(INDEX(FILTER('Vân tay'!$A$5:$O270,'Vân tay'!$C$5:$C270=F74,'Vân tay'!$B$5:$B270=D74),1,11),"""")"),"")</f>
        <v/>
      </c>
      <c r="I74" s="138" t="str">
        <f>IFERROR(__xludf.DUMMYFUNCTION("IFERROR(INDEX(FILTER('Vân tay'!$A$5:$O270,'Vân tay'!$C$5:$C270=F74,'Vân tay'!$B$5:$B270=D74),1,14),"""")"),"")</f>
        <v/>
      </c>
      <c r="J74" s="138" t="str">
        <f>IFERROR(__xludf.DUMMYFUNCTION("IFERROR(INDEX(FILTER('Vân tay'!$A$5:$O270,'Vân tay'!$C$5:$C270=F74,'Vân tay'!$B$5:$B270=D74),1,15),"""")"),"")</f>
        <v/>
      </c>
      <c r="K74" s="196" t="str">
        <f t="shared" si="1"/>
        <v/>
      </c>
      <c r="L74" s="196" t="str">
        <f t="shared" si="2"/>
        <v/>
      </c>
      <c r="M74" s="197" t="str">
        <f t="shared" si="9"/>
        <v/>
      </c>
      <c r="N74" s="198" t="str">
        <f t="shared" si="3"/>
        <v/>
      </c>
      <c r="O74" s="198" t="str">
        <f t="shared" si="10"/>
        <v/>
      </c>
      <c r="P74" s="198"/>
      <c r="Q74" s="198">
        <f t="shared" si="4"/>
        <v>0</v>
      </c>
      <c r="R74" s="198">
        <f t="shared" si="5"/>
        <v>0</v>
      </c>
      <c r="S74" s="199">
        <f t="shared" si="6"/>
        <v>0</v>
      </c>
      <c r="T74" s="198">
        <f t="shared" si="7"/>
        <v>0</v>
      </c>
      <c r="U74" s="198"/>
      <c r="V74" s="198"/>
      <c r="W74" s="198">
        <f t="shared" si="8"/>
        <v>0</v>
      </c>
      <c r="X74" s="200"/>
    </row>
    <row r="75">
      <c r="A75" s="135"/>
      <c r="B75" s="135"/>
      <c r="C75" s="135"/>
      <c r="D75" s="195"/>
      <c r="E75" s="135" t="str">
        <f>IFERROR(VLOOKUP(C75,'Công T5'!$C$7:$F$89,4,0),"")</f>
        <v/>
      </c>
      <c r="F75" s="137" t="str">
        <f>IFERROR(__xludf.DUMMYFUNCTION("INDEX(FILTER('Công T5'!$B$8:$C$89,'Công T5'!$C$8:$C$89=C75),1,1)"),"")</f>
        <v/>
      </c>
      <c r="G75" s="138" t="str">
        <f>IFERROR(__xludf.DUMMYFUNCTION("IFERROR(INDEX(FILTER('Vân tay'!$A$5:$O270,'Vân tay'!$C$5:$C270=F75,'Vân tay'!$B$5:$B270=D75),1,10),"""")"),"")</f>
        <v/>
      </c>
      <c r="H75" s="138" t="str">
        <f>IFERROR(__xludf.DUMMYFUNCTION("IFERROR(INDEX(FILTER('Vân tay'!$A$5:$O270,'Vân tay'!$C$5:$C270=F75,'Vân tay'!$B$5:$B270=D75),1,11),"""")"),"")</f>
        <v/>
      </c>
      <c r="I75" s="138" t="str">
        <f>IFERROR(__xludf.DUMMYFUNCTION("IFERROR(INDEX(FILTER('Vân tay'!$A$5:$O270,'Vân tay'!$C$5:$C270=F75,'Vân tay'!$B$5:$B270=D75),1,14),"""")"),"")</f>
        <v/>
      </c>
      <c r="J75" s="138" t="str">
        <f>IFERROR(__xludf.DUMMYFUNCTION("IFERROR(INDEX(FILTER('Vân tay'!$A$5:$O270,'Vân tay'!$C$5:$C270=F75,'Vân tay'!$B$5:$B270=D75),1,15),"""")"),"")</f>
        <v/>
      </c>
      <c r="K75" s="196" t="str">
        <f t="shared" si="1"/>
        <v/>
      </c>
      <c r="L75" s="196" t="str">
        <f t="shared" si="2"/>
        <v/>
      </c>
      <c r="M75" s="197" t="str">
        <f t="shared" si="9"/>
        <v/>
      </c>
      <c r="N75" s="198" t="str">
        <f t="shared" si="3"/>
        <v/>
      </c>
      <c r="O75" s="198" t="str">
        <f t="shared" si="10"/>
        <v/>
      </c>
      <c r="P75" s="198"/>
      <c r="Q75" s="198">
        <f t="shared" si="4"/>
        <v>0</v>
      </c>
      <c r="R75" s="198">
        <f t="shared" si="5"/>
        <v>0</v>
      </c>
      <c r="S75" s="199">
        <f t="shared" si="6"/>
        <v>0</v>
      </c>
      <c r="T75" s="198">
        <f t="shared" si="7"/>
        <v>0</v>
      </c>
      <c r="U75" s="198"/>
      <c r="V75" s="198"/>
      <c r="W75" s="198">
        <f t="shared" si="8"/>
        <v>0</v>
      </c>
      <c r="X75" s="200"/>
    </row>
    <row r="76">
      <c r="A76" s="135"/>
      <c r="B76" s="135"/>
      <c r="C76" s="135"/>
      <c r="D76" s="195"/>
      <c r="E76" s="135" t="str">
        <f>IFERROR(VLOOKUP(C76,'Công T5'!$C$7:$F$89,4,0),"")</f>
        <v/>
      </c>
      <c r="F76" s="137" t="str">
        <f>IFERROR(__xludf.DUMMYFUNCTION("INDEX(FILTER('Công T5'!$B$8:$C$89,'Công T5'!$C$8:$C$89=C76),1,1)"),"")</f>
        <v/>
      </c>
      <c r="G76" s="138" t="str">
        <f>IFERROR(__xludf.DUMMYFUNCTION("IFERROR(INDEX(FILTER('Vân tay'!$A$5:$O270,'Vân tay'!$C$5:$C270=F76,'Vân tay'!$B$5:$B270=D76),1,10),"""")"),"")</f>
        <v/>
      </c>
      <c r="H76" s="138" t="str">
        <f>IFERROR(__xludf.DUMMYFUNCTION("IFERROR(INDEX(FILTER('Vân tay'!$A$5:$O270,'Vân tay'!$C$5:$C270=F76,'Vân tay'!$B$5:$B270=D76),1,11),"""")"),"")</f>
        <v/>
      </c>
      <c r="I76" s="138" t="str">
        <f>IFERROR(__xludf.DUMMYFUNCTION("IFERROR(INDEX(FILTER('Vân tay'!$A$5:$O270,'Vân tay'!$C$5:$C270=F76,'Vân tay'!$B$5:$B270=D76),1,14),"""")"),"")</f>
        <v/>
      </c>
      <c r="J76" s="138" t="str">
        <f>IFERROR(__xludf.DUMMYFUNCTION("IFERROR(INDEX(FILTER('Vân tay'!$A$5:$O270,'Vân tay'!$C$5:$C270=F76,'Vân tay'!$B$5:$B270=D76),1,15),"""")"),"")</f>
        <v/>
      </c>
      <c r="K76" s="196" t="str">
        <f t="shared" si="1"/>
        <v/>
      </c>
      <c r="L76" s="196" t="str">
        <f t="shared" si="2"/>
        <v/>
      </c>
      <c r="M76" s="197" t="str">
        <f t="shared" si="9"/>
        <v/>
      </c>
      <c r="N76" s="198" t="str">
        <f t="shared" si="3"/>
        <v/>
      </c>
      <c r="O76" s="198" t="str">
        <f t="shared" si="10"/>
        <v/>
      </c>
      <c r="P76" s="198"/>
      <c r="Q76" s="198">
        <f t="shared" si="4"/>
        <v>0</v>
      </c>
      <c r="R76" s="198">
        <f t="shared" si="5"/>
        <v>0</v>
      </c>
      <c r="S76" s="199">
        <f t="shared" si="6"/>
        <v>0</v>
      </c>
      <c r="T76" s="198">
        <f t="shared" si="7"/>
        <v>0</v>
      </c>
      <c r="U76" s="198"/>
      <c r="V76" s="198"/>
      <c r="W76" s="198">
        <f t="shared" si="8"/>
        <v>0</v>
      </c>
      <c r="X76" s="200"/>
    </row>
    <row r="77">
      <c r="A77" s="135"/>
      <c r="B77" s="135"/>
      <c r="C77" s="135"/>
      <c r="D77" s="195"/>
      <c r="E77" s="135" t="str">
        <f>IFERROR(VLOOKUP(C77,'Công T5'!$C$7:$F$89,4,0),"")</f>
        <v/>
      </c>
      <c r="F77" s="137" t="str">
        <f>IFERROR(__xludf.DUMMYFUNCTION("INDEX(FILTER('Công T5'!$B$8:$C$89,'Công T5'!$C$8:$C$89=C77),1,1)"),"")</f>
        <v/>
      </c>
      <c r="G77" s="138" t="str">
        <f>IFERROR(__xludf.DUMMYFUNCTION("IFERROR(INDEX(FILTER('Vân tay'!$A$5:$O270,'Vân tay'!$C$5:$C270=F77,'Vân tay'!$B$5:$B270=D77),1,10),"""")"),"")</f>
        <v/>
      </c>
      <c r="H77" s="138" t="str">
        <f>IFERROR(__xludf.DUMMYFUNCTION("IFERROR(INDEX(FILTER('Vân tay'!$A$5:$O270,'Vân tay'!$C$5:$C270=F77,'Vân tay'!$B$5:$B270=D77),1,11),"""")"),"")</f>
        <v/>
      </c>
      <c r="I77" s="138" t="str">
        <f>IFERROR(__xludf.DUMMYFUNCTION("IFERROR(INDEX(FILTER('Vân tay'!$A$5:$O270,'Vân tay'!$C$5:$C270=F77,'Vân tay'!$B$5:$B270=D77),1,14),"""")"),"")</f>
        <v/>
      </c>
      <c r="J77" s="138" t="str">
        <f>IFERROR(__xludf.DUMMYFUNCTION("IFERROR(INDEX(FILTER('Vân tay'!$A$5:$O270,'Vân tay'!$C$5:$C270=F77,'Vân tay'!$B$5:$B270=D77),1,15),"""")"),"")</f>
        <v/>
      </c>
      <c r="K77" s="196" t="str">
        <f t="shared" si="1"/>
        <v/>
      </c>
      <c r="L77" s="196" t="str">
        <f t="shared" si="2"/>
        <v/>
      </c>
      <c r="M77" s="197" t="str">
        <f t="shared" si="9"/>
        <v/>
      </c>
      <c r="N77" s="198" t="str">
        <f t="shared" si="3"/>
        <v/>
      </c>
      <c r="O77" s="198" t="str">
        <f t="shared" si="10"/>
        <v/>
      </c>
      <c r="P77" s="198"/>
      <c r="Q77" s="198">
        <f t="shared" si="4"/>
        <v>0</v>
      </c>
      <c r="R77" s="198">
        <f t="shared" si="5"/>
        <v>0</v>
      </c>
      <c r="S77" s="199">
        <f t="shared" si="6"/>
        <v>0</v>
      </c>
      <c r="T77" s="198">
        <f t="shared" si="7"/>
        <v>0</v>
      </c>
      <c r="U77" s="198"/>
      <c r="V77" s="198"/>
      <c r="W77" s="198">
        <f t="shared" si="8"/>
        <v>0</v>
      </c>
      <c r="X77" s="200"/>
    </row>
    <row r="78">
      <c r="A78" s="135"/>
      <c r="B78" s="135"/>
      <c r="C78" s="135"/>
      <c r="D78" s="195"/>
      <c r="E78" s="135" t="str">
        <f>IFERROR(VLOOKUP(C78,'Công T5'!$C$7:$F$89,4,0),"")</f>
        <v/>
      </c>
      <c r="F78" s="137" t="str">
        <f>IFERROR(__xludf.DUMMYFUNCTION("INDEX(FILTER('Công T5'!$B$8:$C$89,'Công T5'!$C$8:$C$89=C78),1,1)"),"")</f>
        <v/>
      </c>
      <c r="G78" s="138" t="str">
        <f>IFERROR(__xludf.DUMMYFUNCTION("IFERROR(INDEX(FILTER('Vân tay'!$A$5:$O270,'Vân tay'!$C$5:$C270=F78,'Vân tay'!$B$5:$B270=D78),1,10),"""")"),"")</f>
        <v/>
      </c>
      <c r="H78" s="138" t="str">
        <f>IFERROR(__xludf.DUMMYFUNCTION("IFERROR(INDEX(FILTER('Vân tay'!$A$5:$O270,'Vân tay'!$C$5:$C270=F78,'Vân tay'!$B$5:$B270=D78),1,11),"""")"),"")</f>
        <v/>
      </c>
      <c r="I78" s="138" t="str">
        <f>IFERROR(__xludf.DUMMYFUNCTION("IFERROR(INDEX(FILTER('Vân tay'!$A$5:$O270,'Vân tay'!$C$5:$C270=F78,'Vân tay'!$B$5:$B270=D78),1,14),"""")"),"")</f>
        <v/>
      </c>
      <c r="J78" s="138" t="str">
        <f>IFERROR(__xludf.DUMMYFUNCTION("IFERROR(INDEX(FILTER('Vân tay'!$A$5:$O270,'Vân tay'!$C$5:$C270=F78,'Vân tay'!$B$5:$B270=D78),1,15),"""")"),"")</f>
        <v/>
      </c>
      <c r="K78" s="196" t="str">
        <f t="shared" si="1"/>
        <v/>
      </c>
      <c r="L78" s="196" t="str">
        <f t="shared" si="2"/>
        <v/>
      </c>
      <c r="M78" s="197" t="str">
        <f t="shared" si="9"/>
        <v/>
      </c>
      <c r="N78" s="198" t="str">
        <f t="shared" si="3"/>
        <v/>
      </c>
      <c r="O78" s="198" t="str">
        <f t="shared" si="10"/>
        <v/>
      </c>
      <c r="P78" s="198"/>
      <c r="Q78" s="198">
        <f t="shared" si="4"/>
        <v>0</v>
      </c>
      <c r="R78" s="198">
        <f t="shared" si="5"/>
        <v>0</v>
      </c>
      <c r="S78" s="199">
        <f t="shared" si="6"/>
        <v>0</v>
      </c>
      <c r="T78" s="198">
        <f t="shared" si="7"/>
        <v>0</v>
      </c>
      <c r="U78" s="198"/>
      <c r="V78" s="198"/>
      <c r="W78" s="198">
        <f t="shared" si="8"/>
        <v>0</v>
      </c>
      <c r="X78" s="200"/>
    </row>
    <row r="79">
      <c r="A79" s="135"/>
      <c r="B79" s="135"/>
      <c r="C79" s="135"/>
      <c r="D79" s="195"/>
      <c r="E79" s="135" t="str">
        <f>IFERROR(VLOOKUP(C79,'Công T5'!$C$7:$F$89,4,0),"")</f>
        <v/>
      </c>
      <c r="F79" s="137" t="str">
        <f>IFERROR(__xludf.DUMMYFUNCTION("INDEX(FILTER('Công T5'!$B$8:$C$89,'Công T5'!$C$8:$C$89=C79),1,1)"),"")</f>
        <v/>
      </c>
      <c r="G79" s="138" t="str">
        <f>IFERROR(__xludf.DUMMYFUNCTION("IFERROR(INDEX(FILTER('Vân tay'!$A$5:$O270,'Vân tay'!$C$5:$C270=F79,'Vân tay'!$B$5:$B270=D79),1,10),"""")"),"")</f>
        <v/>
      </c>
      <c r="H79" s="138" t="str">
        <f>IFERROR(__xludf.DUMMYFUNCTION("IFERROR(INDEX(FILTER('Vân tay'!$A$5:$O270,'Vân tay'!$C$5:$C270=F79,'Vân tay'!$B$5:$B270=D79),1,11),"""")"),"")</f>
        <v/>
      </c>
      <c r="I79" s="138" t="str">
        <f>IFERROR(__xludf.DUMMYFUNCTION("IFERROR(INDEX(FILTER('Vân tay'!$A$5:$O270,'Vân tay'!$C$5:$C270=F79,'Vân tay'!$B$5:$B270=D79),1,14),"""")"),"")</f>
        <v/>
      </c>
      <c r="J79" s="138" t="str">
        <f>IFERROR(__xludf.DUMMYFUNCTION("IFERROR(INDEX(FILTER('Vân tay'!$A$5:$O270,'Vân tay'!$C$5:$C270=F79,'Vân tay'!$B$5:$B270=D79),1,15),"""")"),"")</f>
        <v/>
      </c>
      <c r="K79" s="196" t="str">
        <f t="shared" si="1"/>
        <v/>
      </c>
      <c r="L79" s="196" t="str">
        <f t="shared" si="2"/>
        <v/>
      </c>
      <c r="M79" s="197" t="str">
        <f t="shared" si="9"/>
        <v/>
      </c>
      <c r="N79" s="198" t="str">
        <f t="shared" si="3"/>
        <v/>
      </c>
      <c r="O79" s="198" t="str">
        <f t="shared" si="10"/>
        <v/>
      </c>
      <c r="P79" s="198"/>
      <c r="Q79" s="198">
        <f t="shared" si="4"/>
        <v>0</v>
      </c>
      <c r="R79" s="198">
        <f t="shared" si="5"/>
        <v>0</v>
      </c>
      <c r="S79" s="199">
        <f t="shared" si="6"/>
        <v>0</v>
      </c>
      <c r="T79" s="198">
        <f t="shared" si="7"/>
        <v>0</v>
      </c>
      <c r="U79" s="198"/>
      <c r="V79" s="198"/>
      <c r="W79" s="198">
        <f t="shared" si="8"/>
        <v>0</v>
      </c>
      <c r="X79" s="200"/>
    </row>
    <row r="80">
      <c r="A80" s="135"/>
      <c r="B80" s="135"/>
      <c r="C80" s="195"/>
      <c r="D80" s="195"/>
      <c r="E80" s="135" t="str">
        <f>IFERROR(VLOOKUP(C80,'Công T5'!$C$7:$F$89,4,0),"")</f>
        <v/>
      </c>
      <c r="F80" s="137" t="str">
        <f>IFERROR(__xludf.DUMMYFUNCTION("INDEX(FILTER('Công T5'!$B$8:$C$89,'Công T5'!$C$8:$C$89=C80),1,1)"),"")</f>
        <v/>
      </c>
      <c r="G80" s="138" t="str">
        <f>IFERROR(__xludf.DUMMYFUNCTION("IFERROR(INDEX(FILTER('Vân tay'!$A$5:$O270,'Vân tay'!$C$5:$C270=F80,'Vân tay'!$B$5:$B270=D80),1,10),"""")"),"")</f>
        <v/>
      </c>
      <c r="H80" s="138" t="str">
        <f>IFERROR(__xludf.DUMMYFUNCTION("IFERROR(INDEX(FILTER('Vân tay'!$A$5:$O270,'Vân tay'!$C$5:$C270=F80,'Vân tay'!$B$5:$B270=D80),1,11),"""")"),"")</f>
        <v/>
      </c>
      <c r="I80" s="138" t="str">
        <f>IFERROR(__xludf.DUMMYFUNCTION("IFERROR(INDEX(FILTER('Vân tay'!$A$5:$O270,'Vân tay'!$C$5:$C270=F80,'Vân tay'!$B$5:$B270=D80),1,14),"""")"),"")</f>
        <v/>
      </c>
      <c r="J80" s="138" t="str">
        <f>IFERROR(__xludf.DUMMYFUNCTION("IFERROR(INDEX(FILTER('Vân tay'!$A$5:$O270,'Vân tay'!$C$5:$C270=F80,'Vân tay'!$B$5:$B270=D80),1,15),"""")"),"")</f>
        <v/>
      </c>
      <c r="K80" s="196" t="str">
        <f t="shared" si="1"/>
        <v/>
      </c>
      <c r="L80" s="196" t="str">
        <f t="shared" si="2"/>
        <v/>
      </c>
      <c r="M80" s="197" t="str">
        <f t="shared" si="9"/>
        <v/>
      </c>
      <c r="N80" s="198" t="str">
        <f t="shared" si="3"/>
        <v/>
      </c>
      <c r="O80" s="198" t="str">
        <f t="shared" si="10"/>
        <v/>
      </c>
      <c r="P80" s="198"/>
      <c r="Q80" s="198">
        <f t="shared" si="4"/>
        <v>0</v>
      </c>
      <c r="R80" s="198">
        <f t="shared" si="5"/>
        <v>0</v>
      </c>
      <c r="S80" s="199">
        <f t="shared" si="6"/>
        <v>0</v>
      </c>
      <c r="T80" s="198">
        <f t="shared" si="7"/>
        <v>0</v>
      </c>
      <c r="U80" s="198"/>
      <c r="V80" s="198"/>
      <c r="W80" s="198">
        <f t="shared" si="8"/>
        <v>0</v>
      </c>
      <c r="X80" s="200"/>
    </row>
    <row r="81">
      <c r="A81" s="135"/>
      <c r="B81" s="135"/>
      <c r="C81" s="135"/>
      <c r="D81" s="195"/>
      <c r="E81" s="135" t="str">
        <f>IFERROR(VLOOKUP(C81,'Công T5'!$C$7:$F$89,4,0),"")</f>
        <v/>
      </c>
      <c r="F81" s="137" t="str">
        <f>IFERROR(__xludf.DUMMYFUNCTION("INDEX(FILTER('Công T5'!$B$8:$C$89,'Công T5'!$C$8:$C$89=C81),1,1)"),"")</f>
        <v/>
      </c>
      <c r="G81" s="138" t="str">
        <f>IFERROR(__xludf.DUMMYFUNCTION("IFERROR(INDEX(FILTER('Vân tay'!$A$5:$O270,'Vân tay'!$C$5:$C270=F81,'Vân tay'!$B$5:$B270=D81),1,10),"""")"),"")</f>
        <v/>
      </c>
      <c r="H81" s="138" t="str">
        <f>IFERROR(__xludf.DUMMYFUNCTION("IFERROR(INDEX(FILTER('Vân tay'!$A$5:$O270,'Vân tay'!$C$5:$C270=F81,'Vân tay'!$B$5:$B270=D81),1,11),"""")"),"")</f>
        <v/>
      </c>
      <c r="I81" s="138" t="str">
        <f>IFERROR(__xludf.DUMMYFUNCTION("IFERROR(INDEX(FILTER('Vân tay'!$A$5:$O270,'Vân tay'!$C$5:$C270=F81,'Vân tay'!$B$5:$B270=D81),1,14),"""")"),"")</f>
        <v/>
      </c>
      <c r="J81" s="138" t="str">
        <f>IFERROR(__xludf.DUMMYFUNCTION("IFERROR(INDEX(FILTER('Vân tay'!$A$5:$O270,'Vân tay'!$C$5:$C270=F81,'Vân tay'!$B$5:$B270=D81),1,15),"""")"),"")</f>
        <v/>
      </c>
      <c r="K81" s="196" t="str">
        <f t="shared" si="1"/>
        <v/>
      </c>
      <c r="L81" s="196" t="str">
        <f t="shared" si="2"/>
        <v/>
      </c>
      <c r="M81" s="197" t="str">
        <f t="shared" si="9"/>
        <v/>
      </c>
      <c r="N81" s="198" t="str">
        <f t="shared" si="3"/>
        <v/>
      </c>
      <c r="O81" s="198" t="str">
        <f t="shared" si="10"/>
        <v/>
      </c>
      <c r="P81" s="198"/>
      <c r="Q81" s="198">
        <f t="shared" si="4"/>
        <v>0</v>
      </c>
      <c r="R81" s="198">
        <f t="shared" si="5"/>
        <v>0</v>
      </c>
      <c r="S81" s="199">
        <f t="shared" si="6"/>
        <v>0</v>
      </c>
      <c r="T81" s="198">
        <f t="shared" si="7"/>
        <v>0</v>
      </c>
      <c r="U81" s="198"/>
      <c r="V81" s="198"/>
      <c r="W81" s="198">
        <f t="shared" si="8"/>
        <v>0</v>
      </c>
      <c r="X81" s="200"/>
    </row>
    <row r="82">
      <c r="A82" s="135"/>
      <c r="B82" s="135"/>
      <c r="C82" s="135"/>
      <c r="D82" s="195"/>
      <c r="E82" s="135" t="str">
        <f>IFERROR(VLOOKUP(C82,'Công T5'!$C$7:$F$89,4,0),"")</f>
        <v/>
      </c>
      <c r="F82" s="137" t="str">
        <f>IFERROR(__xludf.DUMMYFUNCTION("INDEX(FILTER('Công T5'!$B$8:$C$89,'Công T5'!$C$8:$C$89=C82),1,1)"),"")</f>
        <v/>
      </c>
      <c r="G82" s="138" t="str">
        <f>IFERROR(__xludf.DUMMYFUNCTION("IFERROR(INDEX(FILTER('Vân tay'!$A$5:$O270,'Vân tay'!$C$5:$C270=F82,'Vân tay'!$B$5:$B270=D82),1,10),"""")"),"")</f>
        <v/>
      </c>
      <c r="H82" s="138" t="str">
        <f>IFERROR(__xludf.DUMMYFUNCTION("IFERROR(INDEX(FILTER('Vân tay'!$A$5:$O270,'Vân tay'!$C$5:$C270=F82,'Vân tay'!$B$5:$B270=D82),1,11),"""")"),"")</f>
        <v/>
      </c>
      <c r="I82" s="138" t="str">
        <f>IFERROR(__xludf.DUMMYFUNCTION("IFERROR(INDEX(FILTER('Vân tay'!$A$5:$O270,'Vân tay'!$C$5:$C270=F82,'Vân tay'!$B$5:$B270=D82),1,14),"""")"),"")</f>
        <v/>
      </c>
      <c r="J82" s="138" t="str">
        <f>IFERROR(__xludf.DUMMYFUNCTION("IFERROR(INDEX(FILTER('Vân tay'!$A$5:$O270,'Vân tay'!$C$5:$C270=F82,'Vân tay'!$B$5:$B270=D82),1,15),"""")"),"")</f>
        <v/>
      </c>
      <c r="K82" s="196" t="str">
        <f t="shared" si="1"/>
        <v/>
      </c>
      <c r="L82" s="196" t="str">
        <f t="shared" si="2"/>
        <v/>
      </c>
      <c r="M82" s="197" t="str">
        <f t="shared" si="9"/>
        <v/>
      </c>
      <c r="N82" s="198" t="str">
        <f t="shared" si="3"/>
        <v/>
      </c>
      <c r="O82" s="198" t="str">
        <f t="shared" si="10"/>
        <v/>
      </c>
      <c r="P82" s="198"/>
      <c r="Q82" s="198">
        <f t="shared" si="4"/>
        <v>0</v>
      </c>
      <c r="R82" s="198">
        <f t="shared" si="5"/>
        <v>0</v>
      </c>
      <c r="S82" s="199">
        <f t="shared" si="6"/>
        <v>0</v>
      </c>
      <c r="T82" s="198">
        <f t="shared" si="7"/>
        <v>0</v>
      </c>
      <c r="U82" s="198"/>
      <c r="V82" s="198"/>
      <c r="W82" s="198">
        <f t="shared" si="8"/>
        <v>0</v>
      </c>
      <c r="X82" s="200"/>
    </row>
    <row r="83">
      <c r="A83" s="135"/>
      <c r="B83" s="135"/>
      <c r="C83" s="135"/>
      <c r="D83" s="195"/>
      <c r="E83" s="135" t="str">
        <f>IFERROR(VLOOKUP(C83,'Công T5'!$C$7:$F$89,4,0),"")</f>
        <v/>
      </c>
      <c r="F83" s="137" t="str">
        <f>IFERROR(__xludf.DUMMYFUNCTION("INDEX(FILTER('Công T5'!$B$8:$C$89,'Công T5'!$C$8:$C$89=C83),1,1)"),"")</f>
        <v/>
      </c>
      <c r="G83" s="138" t="str">
        <f>IFERROR(__xludf.DUMMYFUNCTION("IFERROR(INDEX(FILTER('Vân tay'!$A$5:$O270,'Vân tay'!$C$5:$C270=F83,'Vân tay'!$B$5:$B270=D83),1,10),"""")"),"")</f>
        <v/>
      </c>
      <c r="H83" s="138" t="str">
        <f>IFERROR(__xludf.DUMMYFUNCTION("IFERROR(INDEX(FILTER('Vân tay'!$A$5:$O270,'Vân tay'!$C$5:$C270=F83,'Vân tay'!$B$5:$B270=D83),1,11),"""")"),"")</f>
        <v/>
      </c>
      <c r="I83" s="138" t="str">
        <f>IFERROR(__xludf.DUMMYFUNCTION("IFERROR(INDEX(FILTER('Vân tay'!$A$5:$O270,'Vân tay'!$C$5:$C270=F83,'Vân tay'!$B$5:$B270=D83),1,14),"""")"),"")</f>
        <v/>
      </c>
      <c r="J83" s="138" t="str">
        <f>IFERROR(__xludf.DUMMYFUNCTION("IFERROR(INDEX(FILTER('Vân tay'!$A$5:$O270,'Vân tay'!$C$5:$C270=F83,'Vân tay'!$B$5:$B270=D83),1,15),"""")"),"")</f>
        <v/>
      </c>
      <c r="K83" s="196" t="str">
        <f t="shared" si="1"/>
        <v/>
      </c>
      <c r="L83" s="196" t="str">
        <f t="shared" si="2"/>
        <v/>
      </c>
      <c r="M83" s="197" t="str">
        <f t="shared" si="9"/>
        <v/>
      </c>
      <c r="N83" s="198" t="str">
        <f t="shared" si="3"/>
        <v/>
      </c>
      <c r="O83" s="198" t="str">
        <f t="shared" si="10"/>
        <v/>
      </c>
      <c r="P83" s="198"/>
      <c r="Q83" s="198">
        <f t="shared" si="4"/>
        <v>0</v>
      </c>
      <c r="R83" s="198">
        <f t="shared" si="5"/>
        <v>0</v>
      </c>
      <c r="S83" s="199">
        <f t="shared" si="6"/>
        <v>0</v>
      </c>
      <c r="T83" s="198">
        <f t="shared" si="7"/>
        <v>0</v>
      </c>
      <c r="U83" s="198"/>
      <c r="V83" s="198"/>
      <c r="W83" s="198">
        <f t="shared" si="8"/>
        <v>0</v>
      </c>
      <c r="X83" s="200"/>
    </row>
    <row r="84">
      <c r="A84" s="135"/>
      <c r="B84" s="135"/>
      <c r="C84" s="135"/>
      <c r="D84" s="195"/>
      <c r="E84" s="135" t="str">
        <f>IFERROR(VLOOKUP(C84,'Công T5'!$C$7:$F$89,4,0),"")</f>
        <v/>
      </c>
      <c r="F84" s="137" t="str">
        <f>IFERROR(__xludf.DUMMYFUNCTION("INDEX(FILTER('Công T5'!$B$8:$C$89,'Công T5'!$C$8:$C$89=C84),1,1)"),"")</f>
        <v/>
      </c>
      <c r="G84" s="138" t="str">
        <f>IFERROR(__xludf.DUMMYFUNCTION("IFERROR(INDEX(FILTER('Vân tay'!$A$5:$O270,'Vân tay'!$C$5:$C270=F84,'Vân tay'!$B$5:$B270=D84),1,10),"""")"),"")</f>
        <v/>
      </c>
      <c r="H84" s="138" t="str">
        <f>IFERROR(__xludf.DUMMYFUNCTION("IFERROR(INDEX(FILTER('Vân tay'!$A$5:$O270,'Vân tay'!$C$5:$C270=F84,'Vân tay'!$B$5:$B270=D84),1,11),"""")"),"")</f>
        <v/>
      </c>
      <c r="I84" s="138" t="str">
        <f>IFERROR(__xludf.DUMMYFUNCTION("IFERROR(INDEX(FILTER('Vân tay'!$A$5:$O270,'Vân tay'!$C$5:$C270=F84,'Vân tay'!$B$5:$B270=D84),1,14),"""")"),"")</f>
        <v/>
      </c>
      <c r="J84" s="138" t="str">
        <f>IFERROR(__xludf.DUMMYFUNCTION("IFERROR(INDEX(FILTER('Vân tay'!$A$5:$O270,'Vân tay'!$C$5:$C270=F84,'Vân tay'!$B$5:$B270=D84),1,15),"""")"),"")</f>
        <v/>
      </c>
      <c r="K84" s="196" t="str">
        <f t="shared" si="1"/>
        <v/>
      </c>
      <c r="L84" s="196" t="str">
        <f t="shared" si="2"/>
        <v/>
      </c>
      <c r="M84" s="197" t="str">
        <f t="shared" si="9"/>
        <v/>
      </c>
      <c r="N84" s="198" t="str">
        <f t="shared" si="3"/>
        <v/>
      </c>
      <c r="O84" s="198" t="str">
        <f t="shared" si="10"/>
        <v/>
      </c>
      <c r="P84" s="198"/>
      <c r="Q84" s="198">
        <f t="shared" si="4"/>
        <v>0</v>
      </c>
      <c r="R84" s="198">
        <f t="shared" si="5"/>
        <v>0</v>
      </c>
      <c r="S84" s="199">
        <f t="shared" si="6"/>
        <v>0</v>
      </c>
      <c r="T84" s="198">
        <f t="shared" si="7"/>
        <v>0</v>
      </c>
      <c r="U84" s="198"/>
      <c r="V84" s="198"/>
      <c r="W84" s="198">
        <f t="shared" si="8"/>
        <v>0</v>
      </c>
      <c r="X84" s="200"/>
    </row>
    <row r="85">
      <c r="A85" s="135"/>
      <c r="B85" s="135"/>
      <c r="C85" s="135"/>
      <c r="D85" s="195"/>
      <c r="E85" s="135" t="str">
        <f>IFERROR(VLOOKUP(C85,'Công T5'!$C$7:$F$89,4,0),"")</f>
        <v/>
      </c>
      <c r="F85" s="137" t="str">
        <f>IFERROR(__xludf.DUMMYFUNCTION("INDEX(FILTER('Công T5'!$B$8:$C$89,'Công T5'!$C$8:$C$89=C85),1,1)"),"")</f>
        <v/>
      </c>
      <c r="G85" s="138" t="str">
        <f>IFERROR(__xludf.DUMMYFUNCTION("IFERROR(INDEX(FILTER('Vân tay'!$A$5:$O270,'Vân tay'!$C$5:$C270=F85,'Vân tay'!$B$5:$B270=D85),1,10),"""")"),"")</f>
        <v/>
      </c>
      <c r="H85" s="138" t="str">
        <f>IFERROR(__xludf.DUMMYFUNCTION("IFERROR(INDEX(FILTER('Vân tay'!$A$5:$O270,'Vân tay'!$C$5:$C270=F85,'Vân tay'!$B$5:$B270=D85),1,11),"""")"),"")</f>
        <v/>
      </c>
      <c r="I85" s="138" t="str">
        <f>IFERROR(__xludf.DUMMYFUNCTION("IFERROR(INDEX(FILTER('Vân tay'!$A$5:$O270,'Vân tay'!$C$5:$C270=F85,'Vân tay'!$B$5:$B270=D85),1,14),"""")"),"")</f>
        <v/>
      </c>
      <c r="J85" s="138" t="str">
        <f>IFERROR(__xludf.DUMMYFUNCTION("IFERROR(INDEX(FILTER('Vân tay'!$A$5:$O270,'Vân tay'!$C$5:$C270=F85,'Vân tay'!$B$5:$B270=D85),1,15),"""")"),"")</f>
        <v/>
      </c>
      <c r="K85" s="196" t="str">
        <f t="shared" si="1"/>
        <v/>
      </c>
      <c r="L85" s="196" t="str">
        <f t="shared" si="2"/>
        <v/>
      </c>
      <c r="M85" s="197" t="str">
        <f t="shared" si="9"/>
        <v/>
      </c>
      <c r="N85" s="198" t="str">
        <f t="shared" si="3"/>
        <v/>
      </c>
      <c r="O85" s="198" t="str">
        <f t="shared" si="10"/>
        <v/>
      </c>
      <c r="P85" s="198"/>
      <c r="Q85" s="198">
        <f t="shared" si="4"/>
        <v>0</v>
      </c>
      <c r="R85" s="198">
        <f t="shared" si="5"/>
        <v>0</v>
      </c>
      <c r="S85" s="199">
        <f t="shared" si="6"/>
        <v>0</v>
      </c>
      <c r="T85" s="198">
        <f t="shared" si="7"/>
        <v>0</v>
      </c>
      <c r="U85" s="198"/>
      <c r="V85" s="198"/>
      <c r="W85" s="198">
        <f t="shared" si="8"/>
        <v>0</v>
      </c>
      <c r="X85" s="200"/>
    </row>
    <row r="86">
      <c r="A86" s="135"/>
      <c r="B86" s="135"/>
      <c r="C86" s="135"/>
      <c r="D86" s="195"/>
      <c r="E86" s="135" t="str">
        <f>IFERROR(VLOOKUP(C86,'Công T5'!$C$7:$F$89,4,0),"")</f>
        <v/>
      </c>
      <c r="F86" s="137" t="str">
        <f>IFERROR(__xludf.DUMMYFUNCTION("INDEX(FILTER('Công T5'!$B$8:$C$89,'Công T5'!$C$8:$C$89=C86),1,1)"),"")</f>
        <v/>
      </c>
      <c r="G86" s="138" t="str">
        <f>IFERROR(__xludf.DUMMYFUNCTION("IFERROR(INDEX(FILTER('Vân tay'!$A$5:$O270,'Vân tay'!$C$5:$C270=F86,'Vân tay'!$B$5:$B270=D86),1,10),"""")"),"")</f>
        <v/>
      </c>
      <c r="H86" s="138" t="str">
        <f>IFERROR(__xludf.DUMMYFUNCTION("IFERROR(INDEX(FILTER('Vân tay'!$A$5:$O270,'Vân tay'!$C$5:$C270=F86,'Vân tay'!$B$5:$B270=D86),1,11),"""")"),"")</f>
        <v/>
      </c>
      <c r="I86" s="138" t="str">
        <f>IFERROR(__xludf.DUMMYFUNCTION("IFERROR(INDEX(FILTER('Vân tay'!$A$5:$O270,'Vân tay'!$C$5:$C270=F86,'Vân tay'!$B$5:$B270=D86),1,14),"""")"),"")</f>
        <v/>
      </c>
      <c r="J86" s="138" t="str">
        <f>IFERROR(__xludf.DUMMYFUNCTION("IFERROR(INDEX(FILTER('Vân tay'!$A$5:$O270,'Vân tay'!$C$5:$C270=F86,'Vân tay'!$B$5:$B270=D86),1,15),"""")"),"")</f>
        <v/>
      </c>
      <c r="K86" s="196" t="str">
        <f t="shared" si="1"/>
        <v/>
      </c>
      <c r="L86" s="196" t="str">
        <f t="shared" si="2"/>
        <v/>
      </c>
      <c r="M86" s="197" t="str">
        <f t="shared" si="9"/>
        <v/>
      </c>
      <c r="N86" s="198" t="str">
        <f t="shared" si="3"/>
        <v/>
      </c>
      <c r="O86" s="198" t="str">
        <f t="shared" si="10"/>
        <v/>
      </c>
      <c r="P86" s="198"/>
      <c r="Q86" s="198">
        <f t="shared" si="4"/>
        <v>0</v>
      </c>
      <c r="R86" s="198">
        <f t="shared" si="5"/>
        <v>0</v>
      </c>
      <c r="S86" s="199">
        <f t="shared" si="6"/>
        <v>0</v>
      </c>
      <c r="T86" s="198">
        <f t="shared" si="7"/>
        <v>0</v>
      </c>
      <c r="U86" s="198"/>
      <c r="V86" s="198"/>
      <c r="W86" s="198">
        <f t="shared" si="8"/>
        <v>0</v>
      </c>
      <c r="X86" s="200"/>
    </row>
    <row r="87">
      <c r="A87" s="135"/>
      <c r="B87" s="135"/>
      <c r="C87" s="135"/>
      <c r="D87" s="195"/>
      <c r="E87" s="135" t="str">
        <f>IFERROR(VLOOKUP(C87,'Công T5'!$C$7:$F$89,4,0),"")</f>
        <v/>
      </c>
      <c r="F87" s="137" t="str">
        <f>IFERROR(__xludf.DUMMYFUNCTION("INDEX(FILTER('Công T5'!$B$8:$C$89,'Công T5'!$C$8:$C$89=C87),1,1)"),"")</f>
        <v/>
      </c>
      <c r="G87" s="138" t="str">
        <f>IFERROR(__xludf.DUMMYFUNCTION("IFERROR(INDEX(FILTER('Vân tay'!$A$5:$O270,'Vân tay'!$C$5:$C270=F87,'Vân tay'!$B$5:$B270=D87),1,10),"""")"),"")</f>
        <v/>
      </c>
      <c r="H87" s="138" t="str">
        <f>IFERROR(__xludf.DUMMYFUNCTION("IFERROR(INDEX(FILTER('Vân tay'!$A$5:$O270,'Vân tay'!$C$5:$C270=F87,'Vân tay'!$B$5:$B270=D87),1,11),"""")"),"")</f>
        <v/>
      </c>
      <c r="I87" s="138" t="str">
        <f>IFERROR(__xludf.DUMMYFUNCTION("IFERROR(INDEX(FILTER('Vân tay'!$A$5:$O270,'Vân tay'!$C$5:$C270=F87,'Vân tay'!$B$5:$B270=D87),1,14),"""")"),"")</f>
        <v/>
      </c>
      <c r="J87" s="138" t="str">
        <f>IFERROR(__xludf.DUMMYFUNCTION("IFERROR(INDEX(FILTER('Vân tay'!$A$5:$O270,'Vân tay'!$C$5:$C270=F87,'Vân tay'!$B$5:$B270=D87),1,15),"""")"),"")</f>
        <v/>
      </c>
      <c r="K87" s="196" t="str">
        <f t="shared" si="1"/>
        <v/>
      </c>
      <c r="L87" s="196" t="str">
        <f t="shared" si="2"/>
        <v/>
      </c>
      <c r="M87" s="197" t="str">
        <f t="shared" si="9"/>
        <v/>
      </c>
      <c r="N87" s="198" t="str">
        <f t="shared" si="3"/>
        <v/>
      </c>
      <c r="O87" s="198" t="str">
        <f t="shared" si="10"/>
        <v/>
      </c>
      <c r="P87" s="198"/>
      <c r="Q87" s="198">
        <f t="shared" si="4"/>
        <v>0</v>
      </c>
      <c r="R87" s="198">
        <f t="shared" si="5"/>
        <v>0</v>
      </c>
      <c r="S87" s="199">
        <f t="shared" si="6"/>
        <v>0</v>
      </c>
      <c r="T87" s="198">
        <f t="shared" si="7"/>
        <v>0</v>
      </c>
      <c r="U87" s="198"/>
      <c r="V87" s="198"/>
      <c r="W87" s="198">
        <f t="shared" si="8"/>
        <v>0</v>
      </c>
      <c r="X87" s="200"/>
    </row>
    <row r="88">
      <c r="A88" s="135"/>
      <c r="B88" s="135"/>
      <c r="C88" s="135"/>
      <c r="D88" s="195"/>
      <c r="E88" s="135" t="str">
        <f>IFERROR(VLOOKUP(C88,'Công T5'!$C$7:$F$89,4,0),"")</f>
        <v/>
      </c>
      <c r="F88" s="137" t="str">
        <f>IFERROR(__xludf.DUMMYFUNCTION("INDEX(FILTER('Công T5'!$B$8:$C$89,'Công T5'!$C$8:$C$89=C88),1,1)"),"")</f>
        <v/>
      </c>
      <c r="G88" s="138" t="str">
        <f>IFERROR(__xludf.DUMMYFUNCTION("IFERROR(INDEX(FILTER('Vân tay'!$A$5:$O270,'Vân tay'!$C$5:$C270=F88,'Vân tay'!$B$5:$B270=D88),1,10),"""")"),"")</f>
        <v/>
      </c>
      <c r="H88" s="138" t="str">
        <f>IFERROR(__xludf.DUMMYFUNCTION("IFERROR(INDEX(FILTER('Vân tay'!$A$5:$O270,'Vân tay'!$C$5:$C270=F88,'Vân tay'!$B$5:$B270=D88),1,11),"""")"),"")</f>
        <v/>
      </c>
      <c r="I88" s="138" t="str">
        <f>IFERROR(__xludf.DUMMYFUNCTION("IFERROR(INDEX(FILTER('Vân tay'!$A$5:$O270,'Vân tay'!$C$5:$C270=F88,'Vân tay'!$B$5:$B270=D88),1,14),"""")"),"")</f>
        <v/>
      </c>
      <c r="J88" s="138" t="str">
        <f>IFERROR(__xludf.DUMMYFUNCTION("IFERROR(INDEX(FILTER('Vân tay'!$A$5:$O270,'Vân tay'!$C$5:$C270=F88,'Vân tay'!$B$5:$B270=D88),1,15),"""")"),"")</f>
        <v/>
      </c>
      <c r="K88" s="196" t="str">
        <f t="shared" si="1"/>
        <v/>
      </c>
      <c r="L88" s="196" t="str">
        <f t="shared" si="2"/>
        <v/>
      </c>
      <c r="M88" s="197" t="str">
        <f t="shared" si="9"/>
        <v/>
      </c>
      <c r="N88" s="198" t="str">
        <f t="shared" si="3"/>
        <v/>
      </c>
      <c r="O88" s="198" t="str">
        <f t="shared" si="10"/>
        <v/>
      </c>
      <c r="P88" s="198"/>
      <c r="Q88" s="198">
        <f t="shared" si="4"/>
        <v>0</v>
      </c>
      <c r="R88" s="198">
        <f t="shared" si="5"/>
        <v>0</v>
      </c>
      <c r="S88" s="199">
        <f t="shared" si="6"/>
        <v>0</v>
      </c>
      <c r="T88" s="198">
        <f t="shared" si="7"/>
        <v>0</v>
      </c>
      <c r="U88" s="198"/>
      <c r="V88" s="198"/>
      <c r="W88" s="198">
        <f t="shared" si="8"/>
        <v>0</v>
      </c>
      <c r="X88" s="200"/>
    </row>
    <row r="89">
      <c r="A89" s="135"/>
      <c r="B89" s="135"/>
      <c r="C89" s="135"/>
      <c r="D89" s="195"/>
      <c r="E89" s="135" t="str">
        <f>IFERROR(VLOOKUP(C89,'Công T5'!$C$7:$F$89,4,0),"")</f>
        <v/>
      </c>
      <c r="F89" s="137" t="str">
        <f>IFERROR(__xludf.DUMMYFUNCTION("INDEX(FILTER('Công T5'!$B$8:$C$89,'Công T5'!$C$8:$C$89=C89),1,1)"),"")</f>
        <v/>
      </c>
      <c r="G89" s="138" t="str">
        <f>IFERROR(__xludf.DUMMYFUNCTION("IFERROR(INDEX(FILTER('Vân tay'!$A$5:$O270,'Vân tay'!$C$5:$C270=F89,'Vân tay'!$B$5:$B270=D89),1,10),"""")"),"")</f>
        <v/>
      </c>
      <c r="H89" s="138" t="str">
        <f>IFERROR(__xludf.DUMMYFUNCTION("IFERROR(INDEX(FILTER('Vân tay'!$A$5:$O270,'Vân tay'!$C$5:$C270=F89,'Vân tay'!$B$5:$B270=D89),1,11),"""")"),"")</f>
        <v/>
      </c>
      <c r="I89" s="138" t="str">
        <f>IFERROR(__xludf.DUMMYFUNCTION("IFERROR(INDEX(FILTER('Vân tay'!$A$5:$O270,'Vân tay'!$C$5:$C270=F89,'Vân tay'!$B$5:$B270=D89),1,14),"""")"),"")</f>
        <v/>
      </c>
      <c r="J89" s="138" t="str">
        <f>IFERROR(__xludf.DUMMYFUNCTION("IFERROR(INDEX(FILTER('Vân tay'!$A$5:$O270,'Vân tay'!$C$5:$C270=F89,'Vân tay'!$B$5:$B270=D89),1,15),"""")"),"")</f>
        <v/>
      </c>
      <c r="K89" s="196" t="str">
        <f t="shared" si="1"/>
        <v/>
      </c>
      <c r="L89" s="196" t="str">
        <f t="shared" si="2"/>
        <v/>
      </c>
      <c r="M89" s="197" t="str">
        <f t="shared" si="9"/>
        <v/>
      </c>
      <c r="N89" s="198" t="str">
        <f t="shared" si="3"/>
        <v/>
      </c>
      <c r="O89" s="198" t="str">
        <f t="shared" si="10"/>
        <v/>
      </c>
      <c r="P89" s="198"/>
      <c r="Q89" s="198">
        <f t="shared" si="4"/>
        <v>0</v>
      </c>
      <c r="R89" s="198">
        <f t="shared" si="5"/>
        <v>0</v>
      </c>
      <c r="S89" s="199">
        <f t="shared" si="6"/>
        <v>0</v>
      </c>
      <c r="T89" s="198">
        <f t="shared" si="7"/>
        <v>0</v>
      </c>
      <c r="U89" s="198"/>
      <c r="V89" s="198"/>
      <c r="W89" s="198">
        <f t="shared" si="8"/>
        <v>0</v>
      </c>
      <c r="X89" s="200"/>
    </row>
    <row r="90">
      <c r="A90" s="135"/>
      <c r="B90" s="135"/>
      <c r="C90" s="135"/>
      <c r="D90" s="195"/>
      <c r="E90" s="135" t="str">
        <f>IFERROR(VLOOKUP(C90,'Công T5'!$C$7:$F$89,4,0),"")</f>
        <v/>
      </c>
      <c r="F90" s="137" t="str">
        <f>IFERROR(__xludf.DUMMYFUNCTION("INDEX(FILTER('Công T5'!$B$8:$C$89,'Công T5'!$C$8:$C$89=C90),1,1)"),"")</f>
        <v/>
      </c>
      <c r="G90" s="138" t="str">
        <f>IFERROR(__xludf.DUMMYFUNCTION("IFERROR(INDEX(FILTER('Vân tay'!$A$5:$O270,'Vân tay'!$C$5:$C270=F90,'Vân tay'!$B$5:$B270=D90),1,10),"""")"),"")</f>
        <v/>
      </c>
      <c r="H90" s="138" t="str">
        <f>IFERROR(__xludf.DUMMYFUNCTION("IFERROR(INDEX(FILTER('Vân tay'!$A$5:$O270,'Vân tay'!$C$5:$C270=F90,'Vân tay'!$B$5:$B270=D90),1,11),"""")"),"")</f>
        <v/>
      </c>
      <c r="I90" s="138" t="str">
        <f>IFERROR(__xludf.DUMMYFUNCTION("IFERROR(INDEX(FILTER('Vân tay'!$A$5:$O270,'Vân tay'!$C$5:$C270=F90,'Vân tay'!$B$5:$B270=D90),1,14),"""")"),"")</f>
        <v/>
      </c>
      <c r="J90" s="138" t="str">
        <f>IFERROR(__xludf.DUMMYFUNCTION("IFERROR(INDEX(FILTER('Vân tay'!$A$5:$O270,'Vân tay'!$C$5:$C270=F90,'Vân tay'!$B$5:$B270=D90),1,15),"""")"),"")</f>
        <v/>
      </c>
      <c r="K90" s="196" t="str">
        <f t="shared" si="1"/>
        <v/>
      </c>
      <c r="L90" s="196" t="str">
        <f t="shared" si="2"/>
        <v/>
      </c>
      <c r="M90" s="197" t="str">
        <f t="shared" si="9"/>
        <v/>
      </c>
      <c r="N90" s="198" t="str">
        <f t="shared" si="3"/>
        <v/>
      </c>
      <c r="O90" s="198" t="str">
        <f t="shared" si="10"/>
        <v/>
      </c>
      <c r="P90" s="198"/>
      <c r="Q90" s="198">
        <f t="shared" si="4"/>
        <v>0</v>
      </c>
      <c r="R90" s="198">
        <f t="shared" si="5"/>
        <v>0</v>
      </c>
      <c r="S90" s="199">
        <f t="shared" si="6"/>
        <v>0</v>
      </c>
      <c r="T90" s="198">
        <f t="shared" si="7"/>
        <v>0</v>
      </c>
      <c r="U90" s="198"/>
      <c r="V90" s="198"/>
      <c r="W90" s="198">
        <f t="shared" si="8"/>
        <v>0</v>
      </c>
      <c r="X90" s="200"/>
    </row>
    <row r="91">
      <c r="A91" s="135"/>
      <c r="B91" s="135"/>
      <c r="C91" s="135"/>
      <c r="D91" s="195"/>
      <c r="E91" s="135" t="str">
        <f>IFERROR(VLOOKUP(C91,'Công T5'!$C$7:$F$89,4,0),"")</f>
        <v/>
      </c>
      <c r="F91" s="137" t="str">
        <f>IFERROR(__xludf.DUMMYFUNCTION("INDEX(FILTER('Công T5'!$B$8:$C$89,'Công T5'!$C$8:$C$89=C91),1,1)"),"")</f>
        <v/>
      </c>
      <c r="G91" s="138" t="str">
        <f>IFERROR(__xludf.DUMMYFUNCTION("IFERROR(INDEX(FILTER('Vân tay'!$A$5:$O270,'Vân tay'!$C$5:$C270=F91,'Vân tay'!$B$5:$B270=D91),1,10),"""")"),"")</f>
        <v/>
      </c>
      <c r="H91" s="138" t="str">
        <f>IFERROR(__xludf.DUMMYFUNCTION("IFERROR(INDEX(FILTER('Vân tay'!$A$5:$O270,'Vân tay'!$C$5:$C270=F91,'Vân tay'!$B$5:$B270=D91),1,11),"""")"),"")</f>
        <v/>
      </c>
      <c r="I91" s="138" t="str">
        <f>IFERROR(__xludf.DUMMYFUNCTION("IFERROR(INDEX(FILTER('Vân tay'!$A$5:$O270,'Vân tay'!$C$5:$C270=F91,'Vân tay'!$B$5:$B270=D91),1,14),"""")"),"")</f>
        <v/>
      </c>
      <c r="J91" s="138" t="str">
        <f>IFERROR(__xludf.DUMMYFUNCTION("IFERROR(INDEX(FILTER('Vân tay'!$A$5:$O270,'Vân tay'!$C$5:$C270=F91,'Vân tay'!$B$5:$B270=D91),1,15),"""")"),"")</f>
        <v/>
      </c>
      <c r="K91" s="196" t="str">
        <f t="shared" si="1"/>
        <v/>
      </c>
      <c r="L91" s="196" t="str">
        <f t="shared" si="2"/>
        <v/>
      </c>
      <c r="M91" s="197" t="str">
        <f t="shared" si="9"/>
        <v/>
      </c>
      <c r="N91" s="198" t="str">
        <f t="shared" si="3"/>
        <v/>
      </c>
      <c r="O91" s="198" t="str">
        <f t="shared" si="10"/>
        <v/>
      </c>
      <c r="P91" s="198"/>
      <c r="Q91" s="198">
        <f t="shared" si="4"/>
        <v>0</v>
      </c>
      <c r="R91" s="198">
        <f t="shared" si="5"/>
        <v>0</v>
      </c>
      <c r="S91" s="199">
        <f t="shared" si="6"/>
        <v>0</v>
      </c>
      <c r="T91" s="198">
        <f t="shared" si="7"/>
        <v>0</v>
      </c>
      <c r="U91" s="198"/>
      <c r="V91" s="198"/>
      <c r="W91" s="198">
        <f t="shared" si="8"/>
        <v>0</v>
      </c>
      <c r="X91" s="200"/>
    </row>
    <row r="92">
      <c r="A92" s="135"/>
      <c r="B92" s="135"/>
      <c r="C92" s="135"/>
      <c r="D92" s="195"/>
      <c r="E92" s="135" t="str">
        <f>IFERROR(VLOOKUP(C92,'Công T5'!$C$7:$F$89,4,0),"")</f>
        <v/>
      </c>
      <c r="F92" s="137" t="str">
        <f>IFERROR(__xludf.DUMMYFUNCTION("INDEX(FILTER('Công T5'!$B$8:$C$89,'Công T5'!$C$8:$C$89=C92),1,1)"),"")</f>
        <v/>
      </c>
      <c r="G92" s="138" t="str">
        <f>IFERROR(__xludf.DUMMYFUNCTION("IFERROR(INDEX(FILTER('Vân tay'!$A$5:$O270,'Vân tay'!$C$5:$C270=F92,'Vân tay'!$B$5:$B270=D92),1,10),"""")"),"")</f>
        <v/>
      </c>
      <c r="H92" s="138" t="str">
        <f>IFERROR(__xludf.DUMMYFUNCTION("IFERROR(INDEX(FILTER('Vân tay'!$A$5:$O270,'Vân tay'!$C$5:$C270=F92,'Vân tay'!$B$5:$B270=D92),1,11),"""")"),"")</f>
        <v/>
      </c>
      <c r="I92" s="138" t="str">
        <f>IFERROR(__xludf.DUMMYFUNCTION("IFERROR(INDEX(FILTER('Vân tay'!$A$5:$O270,'Vân tay'!$C$5:$C270=F92,'Vân tay'!$B$5:$B270=D92),1,14),"""")"),"")</f>
        <v/>
      </c>
      <c r="J92" s="138" t="str">
        <f>IFERROR(__xludf.DUMMYFUNCTION("IFERROR(INDEX(FILTER('Vân tay'!$A$5:$O270,'Vân tay'!$C$5:$C270=F92,'Vân tay'!$B$5:$B270=D92),1,15),"""")"),"")</f>
        <v/>
      </c>
      <c r="K92" s="196" t="str">
        <f t="shared" si="1"/>
        <v/>
      </c>
      <c r="L92" s="196" t="str">
        <f t="shared" si="2"/>
        <v/>
      </c>
      <c r="M92" s="197" t="str">
        <f t="shared" si="9"/>
        <v/>
      </c>
      <c r="N92" s="198" t="str">
        <f t="shared" si="3"/>
        <v/>
      </c>
      <c r="O92" s="198" t="str">
        <f t="shared" si="10"/>
        <v/>
      </c>
      <c r="P92" s="198"/>
      <c r="Q92" s="198">
        <f t="shared" si="4"/>
        <v>0</v>
      </c>
      <c r="R92" s="198">
        <f t="shared" si="5"/>
        <v>0</v>
      </c>
      <c r="S92" s="199">
        <f t="shared" si="6"/>
        <v>0</v>
      </c>
      <c r="T92" s="198">
        <f t="shared" si="7"/>
        <v>0</v>
      </c>
      <c r="U92" s="198"/>
      <c r="V92" s="198"/>
      <c r="W92" s="198">
        <f t="shared" si="8"/>
        <v>0</v>
      </c>
      <c r="X92" s="200"/>
    </row>
    <row r="93">
      <c r="A93" s="135"/>
      <c r="B93" s="135"/>
      <c r="C93" s="135"/>
      <c r="D93" s="195"/>
      <c r="E93" s="135" t="str">
        <f>IFERROR(VLOOKUP(C93,'Công T5'!$C$7:$F$89,4,0),"")</f>
        <v/>
      </c>
      <c r="F93" s="137" t="str">
        <f>IFERROR(__xludf.DUMMYFUNCTION("INDEX(FILTER('Công T5'!$B$8:$C$89,'Công T5'!$C$8:$C$89=C93),1,1)"),"")</f>
        <v/>
      </c>
      <c r="G93" s="138" t="str">
        <f>IFERROR(__xludf.DUMMYFUNCTION("IFERROR(INDEX(FILTER('Vân tay'!$A$5:$O270,'Vân tay'!$C$5:$C270=F93,'Vân tay'!$B$5:$B270=D93),1,10),"""")"),"")</f>
        <v/>
      </c>
      <c r="H93" s="138" t="str">
        <f>IFERROR(__xludf.DUMMYFUNCTION("IFERROR(INDEX(FILTER('Vân tay'!$A$5:$O270,'Vân tay'!$C$5:$C270=F93,'Vân tay'!$B$5:$B270=D93),1,11),"""")"),"")</f>
        <v/>
      </c>
      <c r="I93" s="138" t="str">
        <f>IFERROR(__xludf.DUMMYFUNCTION("IFERROR(INDEX(FILTER('Vân tay'!$A$5:$O270,'Vân tay'!$C$5:$C270=F93,'Vân tay'!$B$5:$B270=D93),1,14),"""")"),"")</f>
        <v/>
      </c>
      <c r="J93" s="138" t="str">
        <f>IFERROR(__xludf.DUMMYFUNCTION("IFERROR(INDEX(FILTER('Vân tay'!$A$5:$O270,'Vân tay'!$C$5:$C270=F93,'Vân tay'!$B$5:$B270=D93),1,15),"""")"),"")</f>
        <v/>
      </c>
      <c r="K93" s="196" t="str">
        <f t="shared" si="1"/>
        <v/>
      </c>
      <c r="L93" s="196" t="str">
        <f t="shared" si="2"/>
        <v/>
      </c>
      <c r="M93" s="197" t="str">
        <f t="shared" si="9"/>
        <v/>
      </c>
      <c r="N93" s="198" t="str">
        <f t="shared" si="3"/>
        <v/>
      </c>
      <c r="O93" s="198" t="str">
        <f t="shared" si="10"/>
        <v/>
      </c>
      <c r="P93" s="198"/>
      <c r="Q93" s="198">
        <f t="shared" si="4"/>
        <v>0</v>
      </c>
      <c r="R93" s="198">
        <f t="shared" si="5"/>
        <v>0</v>
      </c>
      <c r="S93" s="199">
        <f t="shared" si="6"/>
        <v>0</v>
      </c>
      <c r="T93" s="198">
        <f t="shared" si="7"/>
        <v>0</v>
      </c>
      <c r="U93" s="198"/>
      <c r="V93" s="198"/>
      <c r="W93" s="198">
        <f t="shared" si="8"/>
        <v>0</v>
      </c>
      <c r="X93" s="200"/>
    </row>
    <row r="94">
      <c r="A94" s="135"/>
      <c r="B94" s="135"/>
      <c r="C94" s="135"/>
      <c r="D94" s="195"/>
      <c r="E94" s="135" t="str">
        <f>IFERROR(VLOOKUP(C94,'Công T5'!$C$7:$F$89,4,0),"")</f>
        <v/>
      </c>
      <c r="F94" s="137" t="str">
        <f>IFERROR(__xludf.DUMMYFUNCTION("INDEX(FILTER('Công T5'!$B$8:$C$89,'Công T5'!$C$8:$C$89=C94),1,1)"),"")</f>
        <v/>
      </c>
      <c r="G94" s="138" t="str">
        <f>IFERROR(__xludf.DUMMYFUNCTION("IFERROR(INDEX(FILTER('Vân tay'!$A$5:$O270,'Vân tay'!$C$5:$C270=F94,'Vân tay'!$B$5:$B270=D94),1,10),"""")"),"")</f>
        <v/>
      </c>
      <c r="H94" s="138" t="str">
        <f>IFERROR(__xludf.DUMMYFUNCTION("IFERROR(INDEX(FILTER('Vân tay'!$A$5:$O270,'Vân tay'!$C$5:$C270=F94,'Vân tay'!$B$5:$B270=D94),1,11),"""")"),"")</f>
        <v/>
      </c>
      <c r="I94" s="138" t="str">
        <f>IFERROR(__xludf.DUMMYFUNCTION("IFERROR(INDEX(FILTER('Vân tay'!$A$5:$O270,'Vân tay'!$C$5:$C270=F94,'Vân tay'!$B$5:$B270=D94),1,14),"""")"),"")</f>
        <v/>
      </c>
      <c r="J94" s="138" t="str">
        <f>IFERROR(__xludf.DUMMYFUNCTION("IFERROR(INDEX(FILTER('Vân tay'!$A$5:$O270,'Vân tay'!$C$5:$C270=F94,'Vân tay'!$B$5:$B270=D94),1,15),"""")"),"")</f>
        <v/>
      </c>
      <c r="K94" s="196" t="str">
        <f t="shared" si="1"/>
        <v/>
      </c>
      <c r="L94" s="196" t="str">
        <f t="shared" si="2"/>
        <v/>
      </c>
      <c r="M94" s="197" t="str">
        <f t="shared" si="9"/>
        <v/>
      </c>
      <c r="N94" s="198" t="str">
        <f t="shared" si="3"/>
        <v/>
      </c>
      <c r="O94" s="198" t="str">
        <f t="shared" si="10"/>
        <v/>
      </c>
      <c r="P94" s="198"/>
      <c r="Q94" s="198">
        <f t="shared" si="4"/>
        <v>0</v>
      </c>
      <c r="R94" s="198">
        <f t="shared" si="5"/>
        <v>0</v>
      </c>
      <c r="S94" s="199">
        <f t="shared" si="6"/>
        <v>0</v>
      </c>
      <c r="T94" s="198">
        <f t="shared" si="7"/>
        <v>0</v>
      </c>
      <c r="U94" s="198"/>
      <c r="V94" s="198"/>
      <c r="W94" s="198">
        <f t="shared" si="8"/>
        <v>0</v>
      </c>
      <c r="X94" s="200"/>
    </row>
    <row r="95">
      <c r="A95" s="135"/>
      <c r="B95" s="135"/>
      <c r="C95" s="135"/>
      <c r="D95" s="195"/>
      <c r="E95" s="135" t="str">
        <f>IFERROR(VLOOKUP(C95,'Công T5'!$C$7:$F$89,4,0),"")</f>
        <v/>
      </c>
      <c r="F95" s="137" t="str">
        <f>IFERROR(__xludf.DUMMYFUNCTION("INDEX(FILTER('Công T5'!$B$8:$C$89,'Công T5'!$C$8:$C$89=C95),1,1)"),"")</f>
        <v/>
      </c>
      <c r="G95" s="138" t="str">
        <f>IFERROR(__xludf.DUMMYFUNCTION("IFERROR(INDEX(FILTER('Vân tay'!$A$5:$O270,'Vân tay'!$C$5:$C270=F95,'Vân tay'!$B$5:$B270=D95),1,10),"""")"),"")</f>
        <v/>
      </c>
      <c r="H95" s="138" t="str">
        <f>IFERROR(__xludf.DUMMYFUNCTION("IFERROR(INDEX(FILTER('Vân tay'!$A$5:$O270,'Vân tay'!$C$5:$C270=F95,'Vân tay'!$B$5:$B270=D95),1,11),"""")"),"")</f>
        <v/>
      </c>
      <c r="I95" s="138" t="str">
        <f>IFERROR(__xludf.DUMMYFUNCTION("IFERROR(INDEX(FILTER('Vân tay'!$A$5:$O270,'Vân tay'!$C$5:$C270=F95,'Vân tay'!$B$5:$B270=D95),1,14),"""")"),"")</f>
        <v/>
      </c>
      <c r="J95" s="138" t="str">
        <f>IFERROR(__xludf.DUMMYFUNCTION("IFERROR(INDEX(FILTER('Vân tay'!$A$5:$O270,'Vân tay'!$C$5:$C270=F95,'Vân tay'!$B$5:$B270=D95),1,15),"""")"),"")</f>
        <v/>
      </c>
      <c r="K95" s="196" t="str">
        <f t="shared" si="1"/>
        <v/>
      </c>
      <c r="L95" s="196" t="str">
        <f t="shared" si="2"/>
        <v/>
      </c>
      <c r="M95" s="197" t="str">
        <f t="shared" si="9"/>
        <v/>
      </c>
      <c r="N95" s="198" t="str">
        <f t="shared" si="3"/>
        <v/>
      </c>
      <c r="O95" s="198" t="str">
        <f t="shared" si="10"/>
        <v/>
      </c>
      <c r="P95" s="198"/>
      <c r="Q95" s="198">
        <f t="shared" si="4"/>
        <v>0</v>
      </c>
      <c r="R95" s="198">
        <f t="shared" si="5"/>
        <v>0</v>
      </c>
      <c r="S95" s="199">
        <f t="shared" si="6"/>
        <v>0</v>
      </c>
      <c r="T95" s="198">
        <f t="shared" si="7"/>
        <v>0</v>
      </c>
      <c r="U95" s="198"/>
      <c r="V95" s="198"/>
      <c r="W95" s="198">
        <f t="shared" si="8"/>
        <v>0</v>
      </c>
      <c r="X95" s="200"/>
    </row>
    <row r="96">
      <c r="A96" s="135"/>
      <c r="B96" s="135"/>
      <c r="C96" s="135"/>
      <c r="D96" s="195"/>
      <c r="E96" s="135" t="str">
        <f>IFERROR(VLOOKUP(C96,'Công T5'!$C$7:$F$89,4,0),"")</f>
        <v/>
      </c>
      <c r="F96" s="137" t="str">
        <f>IFERROR(__xludf.DUMMYFUNCTION("INDEX(FILTER('Công T5'!$B$8:$C$89,'Công T5'!$C$8:$C$89=C96),1,1)"),"")</f>
        <v/>
      </c>
      <c r="G96" s="138" t="str">
        <f>IFERROR(__xludf.DUMMYFUNCTION("IFERROR(INDEX(FILTER('Vân tay'!$A$5:$O270,'Vân tay'!$C$5:$C270=F96,'Vân tay'!$B$5:$B270=D96),1,10),"""")"),"")</f>
        <v/>
      </c>
      <c r="H96" s="138" t="str">
        <f>IFERROR(__xludf.DUMMYFUNCTION("IFERROR(INDEX(FILTER('Vân tay'!$A$5:$O270,'Vân tay'!$C$5:$C270=F96,'Vân tay'!$B$5:$B270=D96),1,11),"""")"),"")</f>
        <v/>
      </c>
      <c r="I96" s="138" t="str">
        <f>IFERROR(__xludf.DUMMYFUNCTION("IFERROR(INDEX(FILTER('Vân tay'!$A$5:$O270,'Vân tay'!$C$5:$C270=F96,'Vân tay'!$B$5:$B270=D96),1,14),"""")"),"")</f>
        <v/>
      </c>
      <c r="J96" s="138" t="str">
        <f>IFERROR(__xludf.DUMMYFUNCTION("IFERROR(INDEX(FILTER('Vân tay'!$A$5:$O270,'Vân tay'!$C$5:$C270=F96,'Vân tay'!$B$5:$B270=D96),1,15),"""")"),"")</f>
        <v/>
      </c>
      <c r="K96" s="196" t="str">
        <f t="shared" si="1"/>
        <v/>
      </c>
      <c r="L96" s="196" t="str">
        <f t="shared" si="2"/>
        <v/>
      </c>
      <c r="M96" s="197" t="str">
        <f t="shared" si="9"/>
        <v/>
      </c>
      <c r="N96" s="198" t="str">
        <f t="shared" si="3"/>
        <v/>
      </c>
      <c r="O96" s="198" t="str">
        <f t="shared" si="10"/>
        <v/>
      </c>
      <c r="P96" s="198"/>
      <c r="Q96" s="198">
        <f t="shared" si="4"/>
        <v>0</v>
      </c>
      <c r="R96" s="198">
        <f t="shared" si="5"/>
        <v>0</v>
      </c>
      <c r="S96" s="199">
        <f t="shared" si="6"/>
        <v>0</v>
      </c>
      <c r="T96" s="198">
        <f t="shared" si="7"/>
        <v>0</v>
      </c>
      <c r="U96" s="198"/>
      <c r="V96" s="198"/>
      <c r="W96" s="198">
        <f t="shared" si="8"/>
        <v>0</v>
      </c>
      <c r="X96" s="200"/>
    </row>
    <row r="97">
      <c r="A97" s="135"/>
      <c r="B97" s="135"/>
      <c r="C97" s="135"/>
      <c r="D97" s="195"/>
      <c r="E97" s="135" t="str">
        <f>IFERROR(VLOOKUP(C97,'Công T5'!$C$7:$F$89,4,0),"")</f>
        <v/>
      </c>
      <c r="F97" s="137" t="str">
        <f>IFERROR(__xludf.DUMMYFUNCTION("INDEX(FILTER('Công T5'!$B$8:$C$89,'Công T5'!$C$8:$C$89=C97),1,1)"),"")</f>
        <v/>
      </c>
      <c r="G97" s="138" t="str">
        <f>IFERROR(__xludf.DUMMYFUNCTION("IFERROR(INDEX(FILTER('Vân tay'!$A$5:$O270,'Vân tay'!$C$5:$C270=F97,'Vân tay'!$B$5:$B270=D97),1,10),"""")"),"")</f>
        <v/>
      </c>
      <c r="H97" s="138" t="str">
        <f>IFERROR(__xludf.DUMMYFUNCTION("IFERROR(INDEX(FILTER('Vân tay'!$A$5:$O270,'Vân tay'!$C$5:$C270=F97,'Vân tay'!$B$5:$B270=D97),1,11),"""")"),"")</f>
        <v/>
      </c>
      <c r="I97" s="138" t="str">
        <f>IFERROR(__xludf.DUMMYFUNCTION("IFERROR(INDEX(FILTER('Vân tay'!$A$5:$O270,'Vân tay'!$C$5:$C270=F97,'Vân tay'!$B$5:$B270=D97),1,14),"""")"),"")</f>
        <v/>
      </c>
      <c r="J97" s="138" t="str">
        <f>IFERROR(__xludf.DUMMYFUNCTION("IFERROR(INDEX(FILTER('Vân tay'!$A$5:$O270,'Vân tay'!$C$5:$C270=F97,'Vân tay'!$B$5:$B270=D97),1,15),"""")"),"")</f>
        <v/>
      </c>
      <c r="K97" s="196" t="str">
        <f t="shared" si="1"/>
        <v/>
      </c>
      <c r="L97" s="196" t="str">
        <f t="shared" si="2"/>
        <v/>
      </c>
      <c r="M97" s="197" t="str">
        <f t="shared" si="9"/>
        <v/>
      </c>
      <c r="N97" s="198" t="str">
        <f t="shared" si="3"/>
        <v/>
      </c>
      <c r="O97" s="198" t="str">
        <f t="shared" si="10"/>
        <v/>
      </c>
      <c r="P97" s="198"/>
      <c r="Q97" s="198">
        <f t="shared" si="4"/>
        <v>0</v>
      </c>
      <c r="R97" s="198">
        <f t="shared" si="5"/>
        <v>0</v>
      </c>
      <c r="S97" s="199">
        <f t="shared" si="6"/>
        <v>0</v>
      </c>
      <c r="T97" s="198">
        <f t="shared" si="7"/>
        <v>0</v>
      </c>
      <c r="U97" s="198"/>
      <c r="V97" s="198"/>
      <c r="W97" s="198">
        <f t="shared" si="8"/>
        <v>0</v>
      </c>
      <c r="X97" s="200"/>
    </row>
    <row r="98">
      <c r="A98" s="135"/>
      <c r="B98" s="135"/>
      <c r="C98" s="135"/>
      <c r="D98" s="195"/>
      <c r="E98" s="135" t="str">
        <f>IFERROR(VLOOKUP(C98,'Công T5'!$C$7:$F$89,4,0),"")</f>
        <v/>
      </c>
      <c r="F98" s="137" t="str">
        <f>IFERROR(__xludf.DUMMYFUNCTION("INDEX(FILTER('Công T5'!$B$8:$C$89,'Công T5'!$C$8:$C$89=C98),1,1)"),"")</f>
        <v/>
      </c>
      <c r="G98" s="138" t="str">
        <f>IFERROR(__xludf.DUMMYFUNCTION("IFERROR(INDEX(FILTER('Vân tay'!$A$5:$O270,'Vân tay'!$C$5:$C270=F98,'Vân tay'!$B$5:$B270=D98),1,10),"""")"),"")</f>
        <v/>
      </c>
      <c r="H98" s="138" t="str">
        <f>IFERROR(__xludf.DUMMYFUNCTION("IFERROR(INDEX(FILTER('Vân tay'!$A$5:$O270,'Vân tay'!$C$5:$C270=F98,'Vân tay'!$B$5:$B270=D98),1,11),"""")"),"")</f>
        <v/>
      </c>
      <c r="I98" s="138" t="str">
        <f>IFERROR(__xludf.DUMMYFUNCTION("IFERROR(INDEX(FILTER('Vân tay'!$A$5:$O270,'Vân tay'!$C$5:$C270=F98,'Vân tay'!$B$5:$B270=D98),1,14),"""")"),"")</f>
        <v/>
      </c>
      <c r="J98" s="138" t="str">
        <f>IFERROR(__xludf.DUMMYFUNCTION("IFERROR(INDEX(FILTER('Vân tay'!$A$5:$O270,'Vân tay'!$C$5:$C270=F98,'Vân tay'!$B$5:$B270=D98),1,15),"""")"),"")</f>
        <v/>
      </c>
      <c r="K98" s="196" t="str">
        <f t="shared" si="1"/>
        <v/>
      </c>
      <c r="L98" s="196" t="str">
        <f t="shared" si="2"/>
        <v/>
      </c>
      <c r="M98" s="197" t="str">
        <f t="shared" si="9"/>
        <v/>
      </c>
      <c r="N98" s="198" t="str">
        <f t="shared" si="3"/>
        <v/>
      </c>
      <c r="O98" s="198" t="str">
        <f t="shared" si="10"/>
        <v/>
      </c>
      <c r="P98" s="198"/>
      <c r="Q98" s="198">
        <f t="shared" si="4"/>
        <v>0</v>
      </c>
      <c r="R98" s="198">
        <f t="shared" si="5"/>
        <v>0</v>
      </c>
      <c r="S98" s="199">
        <f t="shared" si="6"/>
        <v>0</v>
      </c>
      <c r="T98" s="198">
        <f t="shared" si="7"/>
        <v>0</v>
      </c>
      <c r="U98" s="198"/>
      <c r="V98" s="198"/>
      <c r="W98" s="198">
        <f t="shared" si="8"/>
        <v>0</v>
      </c>
      <c r="X98" s="200"/>
    </row>
    <row r="99">
      <c r="A99" s="135"/>
      <c r="B99" s="135"/>
      <c r="C99" s="135"/>
      <c r="D99" s="195"/>
      <c r="E99" s="135" t="str">
        <f>IFERROR(VLOOKUP(C99,'Công T5'!$C$7:$F$89,4,0),"")</f>
        <v/>
      </c>
      <c r="F99" s="137" t="str">
        <f>IFERROR(__xludf.DUMMYFUNCTION("INDEX(FILTER('Công T5'!$B$8:$C$89,'Công T5'!$C$8:$C$89=C99),1,1)"),"")</f>
        <v/>
      </c>
      <c r="G99" s="138" t="str">
        <f>IFERROR(__xludf.DUMMYFUNCTION("IFERROR(INDEX(FILTER('Vân tay'!$A$5:$O270,'Vân tay'!$C$5:$C270=F99,'Vân tay'!$B$5:$B270=D99),1,10),"""")"),"")</f>
        <v/>
      </c>
      <c r="H99" s="138" t="str">
        <f>IFERROR(__xludf.DUMMYFUNCTION("IFERROR(INDEX(FILTER('Vân tay'!$A$5:$O270,'Vân tay'!$C$5:$C270=F99,'Vân tay'!$B$5:$B270=D99),1,11),"""")"),"")</f>
        <v/>
      </c>
      <c r="I99" s="138" t="str">
        <f>IFERROR(__xludf.DUMMYFUNCTION("IFERROR(INDEX(FILTER('Vân tay'!$A$5:$O270,'Vân tay'!$C$5:$C270=F99,'Vân tay'!$B$5:$B270=D99),1,14),"""")"),"")</f>
        <v/>
      </c>
      <c r="J99" s="138" t="str">
        <f>IFERROR(__xludf.DUMMYFUNCTION("IFERROR(INDEX(FILTER('Vân tay'!$A$5:$O270,'Vân tay'!$C$5:$C270=F99,'Vân tay'!$B$5:$B270=D99),1,15),"""")"),"")</f>
        <v/>
      </c>
      <c r="K99" s="196" t="str">
        <f t="shared" si="1"/>
        <v/>
      </c>
      <c r="L99" s="196" t="str">
        <f t="shared" si="2"/>
        <v/>
      </c>
      <c r="M99" s="197" t="str">
        <f t="shared" si="9"/>
        <v/>
      </c>
      <c r="N99" s="198" t="str">
        <f t="shared" si="3"/>
        <v/>
      </c>
      <c r="O99" s="198" t="str">
        <f t="shared" si="10"/>
        <v/>
      </c>
      <c r="P99" s="198"/>
      <c r="Q99" s="198">
        <f t="shared" si="4"/>
        <v>0</v>
      </c>
      <c r="R99" s="198">
        <f t="shared" si="5"/>
        <v>0</v>
      </c>
      <c r="S99" s="199">
        <f t="shared" si="6"/>
        <v>0</v>
      </c>
      <c r="T99" s="198">
        <f t="shared" si="7"/>
        <v>0</v>
      </c>
      <c r="U99" s="198"/>
      <c r="V99" s="198"/>
      <c r="W99" s="198">
        <f t="shared" si="8"/>
        <v>0</v>
      </c>
      <c r="X99" s="200"/>
    </row>
    <row r="100">
      <c r="A100" s="135"/>
      <c r="B100" s="135"/>
      <c r="C100" s="135"/>
      <c r="D100" s="195"/>
      <c r="E100" s="135" t="str">
        <f>IFERROR(VLOOKUP(C100,'Công T5'!$C$7:$F$89,4,0),"")</f>
        <v/>
      </c>
      <c r="F100" s="137" t="str">
        <f>IFERROR(__xludf.DUMMYFUNCTION("INDEX(FILTER('Công T5'!$B$8:$C$89,'Công T5'!$C$8:$C$89=C100),1,1)"),"")</f>
        <v/>
      </c>
      <c r="G100" s="138" t="str">
        <f>IFERROR(__xludf.DUMMYFUNCTION("IFERROR(INDEX(FILTER('Vân tay'!$A$5:$O270,'Vân tay'!$C$5:$C270=F100,'Vân tay'!$B$5:$B270=D100),1,10),"""")"),"")</f>
        <v/>
      </c>
      <c r="H100" s="138" t="str">
        <f>IFERROR(__xludf.DUMMYFUNCTION("IFERROR(INDEX(FILTER('Vân tay'!$A$5:$O270,'Vân tay'!$C$5:$C270=F100,'Vân tay'!$B$5:$B270=D100),1,11),"""")"),"")</f>
        <v/>
      </c>
      <c r="I100" s="138" t="str">
        <f>IFERROR(__xludf.DUMMYFUNCTION("IFERROR(INDEX(FILTER('Vân tay'!$A$5:$O270,'Vân tay'!$C$5:$C270=F100,'Vân tay'!$B$5:$B270=D100),1,14),"""")"),"")</f>
        <v/>
      </c>
      <c r="J100" s="138" t="str">
        <f>IFERROR(__xludf.DUMMYFUNCTION("IFERROR(INDEX(FILTER('Vân tay'!$A$5:$O270,'Vân tay'!$C$5:$C270=F100,'Vân tay'!$B$5:$B270=D100),1,15),"""")"),"")</f>
        <v/>
      </c>
      <c r="K100" s="196" t="str">
        <f t="shared" si="1"/>
        <v/>
      </c>
      <c r="L100" s="196" t="str">
        <f t="shared" si="2"/>
        <v/>
      </c>
      <c r="M100" s="197" t="str">
        <f t="shared" si="9"/>
        <v/>
      </c>
      <c r="N100" s="198" t="str">
        <f t="shared" si="3"/>
        <v/>
      </c>
      <c r="O100" s="198" t="str">
        <f t="shared" si="10"/>
        <v/>
      </c>
      <c r="P100" s="198"/>
      <c r="Q100" s="198">
        <f t="shared" si="4"/>
        <v>0</v>
      </c>
      <c r="R100" s="198">
        <f t="shared" si="5"/>
        <v>0</v>
      </c>
      <c r="S100" s="199">
        <f t="shared" si="6"/>
        <v>0</v>
      </c>
      <c r="T100" s="198">
        <f t="shared" si="7"/>
        <v>0</v>
      </c>
      <c r="U100" s="198"/>
      <c r="V100" s="198"/>
      <c r="W100" s="198">
        <f t="shared" si="8"/>
        <v>0</v>
      </c>
      <c r="X100" s="200"/>
    </row>
    <row r="101">
      <c r="A101" s="135"/>
      <c r="B101" s="135"/>
      <c r="C101" s="135"/>
      <c r="D101" s="195"/>
      <c r="E101" s="135" t="str">
        <f>IFERROR(VLOOKUP(C101,'Công T5'!$C$7:$F$89,4,0),"")</f>
        <v/>
      </c>
      <c r="F101" s="137" t="str">
        <f>IFERROR(__xludf.DUMMYFUNCTION("INDEX(FILTER('Công T5'!$B$8:$C$89,'Công T5'!$C$8:$C$89=C101),1,1)"),"")</f>
        <v/>
      </c>
      <c r="G101" s="138" t="str">
        <f>IFERROR(__xludf.DUMMYFUNCTION("IFERROR(INDEX(FILTER('Vân tay'!$A$5:$O270,'Vân tay'!$C$5:$C270=F101,'Vân tay'!$B$5:$B270=D101),1,10),"""")"),"")</f>
        <v/>
      </c>
      <c r="H101" s="138" t="str">
        <f>IFERROR(__xludf.DUMMYFUNCTION("IFERROR(INDEX(FILTER('Vân tay'!$A$5:$O270,'Vân tay'!$C$5:$C270=F101,'Vân tay'!$B$5:$B270=D101),1,11),"""")"),"")</f>
        <v/>
      </c>
      <c r="I101" s="138" t="str">
        <f>IFERROR(__xludf.DUMMYFUNCTION("IFERROR(INDEX(FILTER('Vân tay'!$A$5:$O270,'Vân tay'!$C$5:$C270=F101,'Vân tay'!$B$5:$B270=D101),1,14),"""")"),"")</f>
        <v/>
      </c>
      <c r="J101" s="138" t="str">
        <f>IFERROR(__xludf.DUMMYFUNCTION("IFERROR(INDEX(FILTER('Vân tay'!$A$5:$O270,'Vân tay'!$C$5:$C270=F101,'Vân tay'!$B$5:$B270=D101),1,15),"""")"),"")</f>
        <v/>
      </c>
      <c r="K101" s="196" t="str">
        <f t="shared" si="1"/>
        <v/>
      </c>
      <c r="L101" s="196" t="str">
        <f t="shared" si="2"/>
        <v/>
      </c>
      <c r="M101" s="197" t="str">
        <f t="shared" si="9"/>
        <v/>
      </c>
      <c r="N101" s="198" t="str">
        <f t="shared" si="3"/>
        <v/>
      </c>
      <c r="O101" s="198" t="str">
        <f t="shared" si="10"/>
        <v/>
      </c>
      <c r="P101" s="198"/>
      <c r="Q101" s="198">
        <f t="shared" si="4"/>
        <v>0</v>
      </c>
      <c r="R101" s="198">
        <f t="shared" si="5"/>
        <v>0</v>
      </c>
      <c r="S101" s="199">
        <f t="shared" si="6"/>
        <v>0</v>
      </c>
      <c r="T101" s="198">
        <f t="shared" si="7"/>
        <v>0</v>
      </c>
      <c r="U101" s="198"/>
      <c r="V101" s="198"/>
      <c r="W101" s="198">
        <f t="shared" si="8"/>
        <v>0</v>
      </c>
      <c r="X101" s="200"/>
    </row>
    <row r="102">
      <c r="A102" s="135"/>
      <c r="B102" s="135"/>
      <c r="C102" s="195"/>
      <c r="D102" s="195"/>
      <c r="E102" s="135" t="str">
        <f>IFERROR(VLOOKUP(C102,'Công T5'!$C$7:$F$89,4,0),"")</f>
        <v/>
      </c>
      <c r="F102" s="137" t="str">
        <f>IFERROR(__xludf.DUMMYFUNCTION("INDEX(FILTER('Công T5'!$B$8:$C$89,'Công T5'!$C$8:$C$89=C102),1,1)"),"")</f>
        <v/>
      </c>
      <c r="G102" s="138" t="str">
        <f>IFERROR(__xludf.DUMMYFUNCTION("IFERROR(INDEX(FILTER('Vân tay'!$A$5:$O270,'Vân tay'!$C$5:$C270=F102,'Vân tay'!$B$5:$B270=D102),1,10),"""")"),"")</f>
        <v/>
      </c>
      <c r="H102" s="138" t="str">
        <f>IFERROR(__xludf.DUMMYFUNCTION("IFERROR(INDEX(FILTER('Vân tay'!$A$5:$O270,'Vân tay'!$C$5:$C270=F102,'Vân tay'!$B$5:$B270=D102),1,11),"""")"),"")</f>
        <v/>
      </c>
      <c r="I102" s="138" t="str">
        <f>IFERROR(__xludf.DUMMYFUNCTION("IFERROR(INDEX(FILTER('Vân tay'!$A$5:$O270,'Vân tay'!$C$5:$C270=F102,'Vân tay'!$B$5:$B270=D102),1,14),"""")"),"")</f>
        <v/>
      </c>
      <c r="J102" s="138" t="str">
        <f>IFERROR(__xludf.DUMMYFUNCTION("IFERROR(INDEX(FILTER('Vân tay'!$A$5:$O270,'Vân tay'!$C$5:$C270=F102,'Vân tay'!$B$5:$B270=D102),1,15),"""")"),"")</f>
        <v/>
      </c>
      <c r="K102" s="196" t="str">
        <f t="shared" si="1"/>
        <v/>
      </c>
      <c r="L102" s="196" t="str">
        <f t="shared" si="2"/>
        <v/>
      </c>
      <c r="M102" s="197" t="str">
        <f t="shared" si="9"/>
        <v/>
      </c>
      <c r="N102" s="198" t="str">
        <f t="shared" si="3"/>
        <v/>
      </c>
      <c r="O102" s="198" t="str">
        <f t="shared" si="10"/>
        <v/>
      </c>
      <c r="P102" s="198"/>
      <c r="Q102" s="198">
        <f t="shared" si="4"/>
        <v>0</v>
      </c>
      <c r="R102" s="198">
        <f t="shared" si="5"/>
        <v>0</v>
      </c>
      <c r="S102" s="199">
        <f t="shared" si="6"/>
        <v>0</v>
      </c>
      <c r="T102" s="198">
        <f t="shared" si="7"/>
        <v>0</v>
      </c>
      <c r="U102" s="198"/>
      <c r="V102" s="198"/>
      <c r="W102" s="198">
        <f t="shared" si="8"/>
        <v>0</v>
      </c>
      <c r="X102" s="200"/>
    </row>
    <row r="103">
      <c r="A103" s="135"/>
      <c r="B103" s="135"/>
      <c r="C103" s="135"/>
      <c r="D103" s="195"/>
      <c r="E103" s="135" t="str">
        <f>IFERROR(VLOOKUP(C103,'Công T5'!$C$7:$F$89,4,0),"")</f>
        <v/>
      </c>
      <c r="F103" s="137" t="str">
        <f>IFERROR(__xludf.DUMMYFUNCTION("INDEX(FILTER('Công T5'!$B$8:$C$89,'Công T5'!$C$8:$C$89=C103),1,1)"),"")</f>
        <v/>
      </c>
      <c r="G103" s="138" t="str">
        <f>IFERROR(__xludf.DUMMYFUNCTION("IFERROR(INDEX(FILTER('Vân tay'!$A$5:$O270,'Vân tay'!$C$5:$C270=F103,'Vân tay'!$B$5:$B270=D103),1,10),"""")"),"")</f>
        <v/>
      </c>
      <c r="H103" s="138" t="str">
        <f>IFERROR(__xludf.DUMMYFUNCTION("IFERROR(INDEX(FILTER('Vân tay'!$A$5:$O270,'Vân tay'!$C$5:$C270=F103,'Vân tay'!$B$5:$B270=D103),1,11),"""")"),"")</f>
        <v/>
      </c>
      <c r="I103" s="138" t="str">
        <f>IFERROR(__xludf.DUMMYFUNCTION("IFERROR(INDEX(FILTER('Vân tay'!$A$5:$O270,'Vân tay'!$C$5:$C270=F103,'Vân tay'!$B$5:$B270=D103),1,14),"""")"),"")</f>
        <v/>
      </c>
      <c r="J103" s="138" t="str">
        <f>IFERROR(__xludf.DUMMYFUNCTION("IFERROR(INDEX(FILTER('Vân tay'!$A$5:$O270,'Vân tay'!$C$5:$C270=F103,'Vân tay'!$B$5:$B270=D103),1,15),"""")"),"")</f>
        <v/>
      </c>
      <c r="K103" s="196" t="str">
        <f t="shared" si="1"/>
        <v/>
      </c>
      <c r="L103" s="196" t="str">
        <f t="shared" si="2"/>
        <v/>
      </c>
      <c r="M103" s="197" t="str">
        <f t="shared" si="9"/>
        <v/>
      </c>
      <c r="N103" s="198" t="str">
        <f t="shared" si="3"/>
        <v/>
      </c>
      <c r="O103" s="198" t="str">
        <f t="shared" si="10"/>
        <v/>
      </c>
      <c r="P103" s="198"/>
      <c r="Q103" s="198">
        <f t="shared" si="4"/>
        <v>0</v>
      </c>
      <c r="R103" s="198">
        <f t="shared" si="5"/>
        <v>0</v>
      </c>
      <c r="S103" s="199">
        <f t="shared" si="6"/>
        <v>0</v>
      </c>
      <c r="T103" s="198">
        <f t="shared" si="7"/>
        <v>0</v>
      </c>
      <c r="U103" s="198"/>
      <c r="V103" s="198"/>
      <c r="W103" s="198">
        <f t="shared" si="8"/>
        <v>0</v>
      </c>
      <c r="X103" s="200"/>
    </row>
    <row r="104">
      <c r="A104" s="135"/>
      <c r="B104" s="135"/>
      <c r="C104" s="135"/>
      <c r="D104" s="195"/>
      <c r="E104" s="135" t="str">
        <f>IFERROR(VLOOKUP(C104,'Công T5'!$C$7:$F$89,4,0),"")</f>
        <v/>
      </c>
      <c r="F104" s="137" t="str">
        <f>IFERROR(__xludf.DUMMYFUNCTION("INDEX(FILTER('Công T5'!$B$8:$C$89,'Công T5'!$C$8:$C$89=C104),1,1)"),"")</f>
        <v/>
      </c>
      <c r="G104" s="138" t="str">
        <f>IFERROR(__xludf.DUMMYFUNCTION("IFERROR(INDEX(FILTER('Vân tay'!$A$5:$O270,'Vân tay'!$C$5:$C270=F104,'Vân tay'!$B$5:$B270=D104),1,10),"""")"),"")</f>
        <v/>
      </c>
      <c r="H104" s="138" t="str">
        <f>IFERROR(__xludf.DUMMYFUNCTION("IFERROR(INDEX(FILTER('Vân tay'!$A$5:$O270,'Vân tay'!$C$5:$C270=F104,'Vân tay'!$B$5:$B270=D104),1,11),"""")"),"")</f>
        <v/>
      </c>
      <c r="I104" s="138" t="str">
        <f>IFERROR(__xludf.DUMMYFUNCTION("IFERROR(INDEX(FILTER('Vân tay'!$A$5:$O270,'Vân tay'!$C$5:$C270=F104,'Vân tay'!$B$5:$B270=D104),1,14),"""")"),"")</f>
        <v/>
      </c>
      <c r="J104" s="138" t="str">
        <f>IFERROR(__xludf.DUMMYFUNCTION("IFERROR(INDEX(FILTER('Vân tay'!$A$5:$O270,'Vân tay'!$C$5:$C270=F104,'Vân tay'!$B$5:$B270=D104),1,15),"""")"),"")</f>
        <v/>
      </c>
      <c r="K104" s="196" t="str">
        <f t="shared" si="1"/>
        <v/>
      </c>
      <c r="L104" s="196" t="str">
        <f t="shared" si="2"/>
        <v/>
      </c>
      <c r="M104" s="197" t="str">
        <f t="shared" si="9"/>
        <v/>
      </c>
      <c r="N104" s="198" t="str">
        <f t="shared" si="3"/>
        <v/>
      </c>
      <c r="O104" s="198" t="str">
        <f t="shared" si="10"/>
        <v/>
      </c>
      <c r="P104" s="198"/>
      <c r="Q104" s="198">
        <f t="shared" si="4"/>
        <v>0</v>
      </c>
      <c r="R104" s="198">
        <f t="shared" si="5"/>
        <v>0</v>
      </c>
      <c r="S104" s="199">
        <f t="shared" si="6"/>
        <v>0</v>
      </c>
      <c r="T104" s="198">
        <f t="shared" si="7"/>
        <v>0</v>
      </c>
      <c r="U104" s="198"/>
      <c r="V104" s="198"/>
      <c r="W104" s="198">
        <f t="shared" si="8"/>
        <v>0</v>
      </c>
      <c r="X104" s="200"/>
    </row>
    <row r="105">
      <c r="A105" s="135"/>
      <c r="B105" s="135"/>
      <c r="C105" s="135"/>
      <c r="D105" s="195"/>
      <c r="E105" s="135" t="str">
        <f>IFERROR(VLOOKUP(C105,'Công T5'!$C$7:$F$89,4,0),"")</f>
        <v/>
      </c>
      <c r="F105" s="137" t="str">
        <f>IFERROR(__xludf.DUMMYFUNCTION("INDEX(FILTER('Công T5'!$B$8:$C$89,'Công T5'!$C$8:$C$89=C105),1,1)"),"")</f>
        <v/>
      </c>
      <c r="G105" s="138" t="str">
        <f>IFERROR(__xludf.DUMMYFUNCTION("IFERROR(INDEX(FILTER('Vân tay'!$A$5:$O270,'Vân tay'!$C$5:$C270=F105,'Vân tay'!$B$5:$B270=D105),1,10),"""")"),"")</f>
        <v/>
      </c>
      <c r="H105" s="138" t="str">
        <f>IFERROR(__xludf.DUMMYFUNCTION("IFERROR(INDEX(FILTER('Vân tay'!$A$5:$O270,'Vân tay'!$C$5:$C270=F105,'Vân tay'!$B$5:$B270=D105),1,11),"""")"),"")</f>
        <v/>
      </c>
      <c r="I105" s="138" t="str">
        <f>IFERROR(__xludf.DUMMYFUNCTION("IFERROR(INDEX(FILTER('Vân tay'!$A$5:$O270,'Vân tay'!$C$5:$C270=F105,'Vân tay'!$B$5:$B270=D105),1,14),"""")"),"")</f>
        <v/>
      </c>
      <c r="J105" s="138" t="str">
        <f>IFERROR(__xludf.DUMMYFUNCTION("IFERROR(INDEX(FILTER('Vân tay'!$A$5:$O270,'Vân tay'!$C$5:$C270=F105,'Vân tay'!$B$5:$B270=D105),1,15),"""")"),"")</f>
        <v/>
      </c>
      <c r="K105" s="196" t="str">
        <f t="shared" si="1"/>
        <v/>
      </c>
      <c r="L105" s="196" t="str">
        <f t="shared" si="2"/>
        <v/>
      </c>
      <c r="M105" s="197" t="str">
        <f t="shared" si="9"/>
        <v/>
      </c>
      <c r="N105" s="198" t="str">
        <f t="shared" si="3"/>
        <v/>
      </c>
      <c r="O105" s="198" t="str">
        <f t="shared" si="10"/>
        <v/>
      </c>
      <c r="P105" s="198"/>
      <c r="Q105" s="198">
        <f t="shared" si="4"/>
        <v>0</v>
      </c>
      <c r="R105" s="198">
        <f t="shared" si="5"/>
        <v>0</v>
      </c>
      <c r="S105" s="199">
        <f t="shared" si="6"/>
        <v>0</v>
      </c>
      <c r="T105" s="198">
        <f t="shared" si="7"/>
        <v>0</v>
      </c>
      <c r="U105" s="198"/>
      <c r="V105" s="198"/>
      <c r="W105" s="198">
        <f t="shared" si="8"/>
        <v>0</v>
      </c>
      <c r="X105" s="200"/>
    </row>
    <row r="106">
      <c r="A106" s="135"/>
      <c r="B106" s="135"/>
      <c r="C106" s="135"/>
      <c r="D106" s="195"/>
      <c r="E106" s="135" t="str">
        <f>IFERROR(VLOOKUP(C106,'Công T5'!$C$7:$F$89,4,0),"")</f>
        <v/>
      </c>
      <c r="F106" s="137" t="str">
        <f>IFERROR(__xludf.DUMMYFUNCTION("INDEX(FILTER('Công T5'!$B$8:$C$89,'Công T5'!$C$8:$C$89=C106),1,1)"),"")</f>
        <v/>
      </c>
      <c r="G106" s="138" t="str">
        <f>IFERROR(__xludf.DUMMYFUNCTION("IFERROR(INDEX(FILTER('Vân tay'!$A$5:$O270,'Vân tay'!$C$5:$C270=F106,'Vân tay'!$B$5:$B270=D106),1,10),"""")"),"")</f>
        <v/>
      </c>
      <c r="H106" s="138" t="str">
        <f>IFERROR(__xludf.DUMMYFUNCTION("IFERROR(INDEX(FILTER('Vân tay'!$A$5:$O270,'Vân tay'!$C$5:$C270=F106,'Vân tay'!$B$5:$B270=D106),1,11),"""")"),"")</f>
        <v/>
      </c>
      <c r="I106" s="138" t="str">
        <f>IFERROR(__xludf.DUMMYFUNCTION("IFERROR(INDEX(FILTER('Vân tay'!$A$5:$O270,'Vân tay'!$C$5:$C270=F106,'Vân tay'!$B$5:$B270=D106),1,14),"""")"),"")</f>
        <v/>
      </c>
      <c r="J106" s="138" t="str">
        <f>IFERROR(__xludf.DUMMYFUNCTION("IFERROR(INDEX(FILTER('Vân tay'!$A$5:$O270,'Vân tay'!$C$5:$C270=F106,'Vân tay'!$B$5:$B270=D106),1,15),"""")"),"")</f>
        <v/>
      </c>
      <c r="K106" s="196" t="str">
        <f t="shared" si="1"/>
        <v/>
      </c>
      <c r="L106" s="196" t="str">
        <f t="shared" si="2"/>
        <v/>
      </c>
      <c r="M106" s="197" t="str">
        <f t="shared" si="9"/>
        <v/>
      </c>
      <c r="N106" s="198" t="str">
        <f t="shared" si="3"/>
        <v/>
      </c>
      <c r="O106" s="198" t="str">
        <f t="shared" si="10"/>
        <v/>
      </c>
      <c r="P106" s="198"/>
      <c r="Q106" s="198">
        <f t="shared" si="4"/>
        <v>0</v>
      </c>
      <c r="R106" s="198">
        <f t="shared" si="5"/>
        <v>0</v>
      </c>
      <c r="S106" s="199">
        <f t="shared" si="6"/>
        <v>0</v>
      </c>
      <c r="T106" s="198">
        <f t="shared" si="7"/>
        <v>0</v>
      </c>
      <c r="U106" s="198"/>
      <c r="V106" s="198"/>
      <c r="W106" s="198">
        <f t="shared" si="8"/>
        <v>0</v>
      </c>
      <c r="X106" s="200"/>
    </row>
    <row r="107">
      <c r="A107" s="135"/>
      <c r="B107" s="135"/>
      <c r="C107" s="135"/>
      <c r="D107" s="195"/>
      <c r="E107" s="135" t="str">
        <f>IFERROR(VLOOKUP(C107,'Công T5'!$C$7:$F$89,4,0),"")</f>
        <v/>
      </c>
      <c r="F107" s="137" t="str">
        <f>IFERROR(__xludf.DUMMYFUNCTION("INDEX(FILTER('Công T5'!$B$8:$C$89,'Công T5'!$C$8:$C$89=C107),1,1)"),"")</f>
        <v/>
      </c>
      <c r="G107" s="138" t="str">
        <f>IFERROR(__xludf.DUMMYFUNCTION("IFERROR(INDEX(FILTER('Vân tay'!$A$5:$O270,'Vân tay'!$C$5:$C270=F107,'Vân tay'!$B$5:$B270=D107),1,10),"""")"),"")</f>
        <v/>
      </c>
      <c r="H107" s="138" t="str">
        <f>IFERROR(__xludf.DUMMYFUNCTION("IFERROR(INDEX(FILTER('Vân tay'!$A$5:$O270,'Vân tay'!$C$5:$C270=F107,'Vân tay'!$B$5:$B270=D107),1,11),"""")"),"")</f>
        <v/>
      </c>
      <c r="I107" s="138" t="str">
        <f>IFERROR(__xludf.DUMMYFUNCTION("IFERROR(INDEX(FILTER('Vân tay'!$A$5:$O270,'Vân tay'!$C$5:$C270=F107,'Vân tay'!$B$5:$B270=D107),1,14),"""")"),"")</f>
        <v/>
      </c>
      <c r="J107" s="138" t="str">
        <f>IFERROR(__xludf.DUMMYFUNCTION("IFERROR(INDEX(FILTER('Vân tay'!$A$5:$O270,'Vân tay'!$C$5:$C270=F107,'Vân tay'!$B$5:$B270=D107),1,15),"""")"),"")</f>
        <v/>
      </c>
      <c r="K107" s="196" t="str">
        <f t="shared" si="1"/>
        <v/>
      </c>
      <c r="L107" s="196" t="str">
        <f t="shared" si="2"/>
        <v/>
      </c>
      <c r="M107" s="197" t="str">
        <f t="shared" si="9"/>
        <v/>
      </c>
      <c r="N107" s="198" t="str">
        <f t="shared" si="3"/>
        <v/>
      </c>
      <c r="O107" s="198" t="str">
        <f t="shared" si="10"/>
        <v/>
      </c>
      <c r="P107" s="198"/>
      <c r="Q107" s="198">
        <f t="shared" si="4"/>
        <v>0</v>
      </c>
      <c r="R107" s="198">
        <f t="shared" si="5"/>
        <v>0</v>
      </c>
      <c r="S107" s="199">
        <f t="shared" si="6"/>
        <v>0</v>
      </c>
      <c r="T107" s="198">
        <f t="shared" si="7"/>
        <v>0</v>
      </c>
      <c r="U107" s="198"/>
      <c r="V107" s="198"/>
      <c r="W107" s="198">
        <f t="shared" si="8"/>
        <v>0</v>
      </c>
      <c r="X107" s="200"/>
    </row>
    <row r="108">
      <c r="A108" s="135"/>
      <c r="B108" s="135"/>
      <c r="C108" s="135"/>
      <c r="D108" s="195"/>
      <c r="E108" s="135" t="str">
        <f>IFERROR(VLOOKUP(C108,'Công T5'!$C$7:$F$89,4,0),"")</f>
        <v/>
      </c>
      <c r="F108" s="137" t="str">
        <f>IFERROR(__xludf.DUMMYFUNCTION("INDEX(FILTER('Công T5'!$B$8:$C$89,'Công T5'!$C$8:$C$89=C108),1,1)"),"")</f>
        <v/>
      </c>
      <c r="G108" s="138" t="str">
        <f>IFERROR(__xludf.DUMMYFUNCTION("IFERROR(INDEX(FILTER('Vân tay'!$A$5:$O270,'Vân tay'!$C$5:$C270=F108,'Vân tay'!$B$5:$B270=D108),1,10),"""")"),"")</f>
        <v/>
      </c>
      <c r="H108" s="138" t="str">
        <f>IFERROR(__xludf.DUMMYFUNCTION("IFERROR(INDEX(FILTER('Vân tay'!$A$5:$O270,'Vân tay'!$C$5:$C270=F108,'Vân tay'!$B$5:$B270=D108),1,11),"""")"),"")</f>
        <v/>
      </c>
      <c r="I108" s="138" t="str">
        <f>IFERROR(__xludf.DUMMYFUNCTION("IFERROR(INDEX(FILTER('Vân tay'!$A$5:$O270,'Vân tay'!$C$5:$C270=F108,'Vân tay'!$B$5:$B270=D108),1,14),"""")"),"")</f>
        <v/>
      </c>
      <c r="J108" s="138" t="str">
        <f>IFERROR(__xludf.DUMMYFUNCTION("IFERROR(INDEX(FILTER('Vân tay'!$A$5:$O270,'Vân tay'!$C$5:$C270=F108,'Vân tay'!$B$5:$B270=D108),1,15),"""")"),"")</f>
        <v/>
      </c>
      <c r="K108" s="196" t="str">
        <f t="shared" si="1"/>
        <v/>
      </c>
      <c r="L108" s="196" t="str">
        <f t="shared" si="2"/>
        <v/>
      </c>
      <c r="M108" s="197" t="str">
        <f t="shared" si="9"/>
        <v/>
      </c>
      <c r="N108" s="198" t="str">
        <f t="shared" si="3"/>
        <v/>
      </c>
      <c r="O108" s="198" t="str">
        <f t="shared" si="10"/>
        <v/>
      </c>
      <c r="P108" s="198"/>
      <c r="Q108" s="198">
        <f t="shared" si="4"/>
        <v>0</v>
      </c>
      <c r="R108" s="198">
        <f t="shared" si="5"/>
        <v>0</v>
      </c>
      <c r="S108" s="199">
        <f t="shared" si="6"/>
        <v>0</v>
      </c>
      <c r="T108" s="198">
        <f t="shared" si="7"/>
        <v>0</v>
      </c>
      <c r="U108" s="198"/>
      <c r="V108" s="198"/>
      <c r="W108" s="198">
        <f t="shared" si="8"/>
        <v>0</v>
      </c>
      <c r="X108" s="200"/>
    </row>
    <row r="109">
      <c r="A109" s="135"/>
      <c r="B109" s="135"/>
      <c r="C109" s="135"/>
      <c r="D109" s="195"/>
      <c r="E109" s="135" t="str">
        <f>IFERROR(VLOOKUP(C109,'Công T5'!$C$7:$F$89,4,0),"")</f>
        <v/>
      </c>
      <c r="F109" s="137" t="str">
        <f>IFERROR(__xludf.DUMMYFUNCTION("INDEX(FILTER('Công T5'!$B$8:$C$89,'Công T5'!$C$8:$C$89=C109),1,1)"),"")</f>
        <v/>
      </c>
      <c r="G109" s="138" t="str">
        <f>IFERROR(__xludf.DUMMYFUNCTION("IFERROR(INDEX(FILTER('Vân tay'!$A$5:$O270,'Vân tay'!$C$5:$C270=F109,'Vân tay'!$B$5:$B270=D109),1,10),"""")"),"")</f>
        <v/>
      </c>
      <c r="H109" s="138" t="str">
        <f>IFERROR(__xludf.DUMMYFUNCTION("IFERROR(INDEX(FILTER('Vân tay'!$A$5:$O270,'Vân tay'!$C$5:$C270=F109,'Vân tay'!$B$5:$B270=D109),1,11),"""")"),"")</f>
        <v/>
      </c>
      <c r="I109" s="138" t="str">
        <f>IFERROR(__xludf.DUMMYFUNCTION("IFERROR(INDEX(FILTER('Vân tay'!$A$5:$O270,'Vân tay'!$C$5:$C270=F109,'Vân tay'!$B$5:$B270=D109),1,14),"""")"),"")</f>
        <v/>
      </c>
      <c r="J109" s="138" t="str">
        <f>IFERROR(__xludf.DUMMYFUNCTION("IFERROR(INDEX(FILTER('Vân tay'!$A$5:$O270,'Vân tay'!$C$5:$C270=F109,'Vân tay'!$B$5:$B270=D109),1,15),"""")"),"")</f>
        <v/>
      </c>
      <c r="K109" s="196" t="str">
        <f t="shared" si="1"/>
        <v/>
      </c>
      <c r="L109" s="196" t="str">
        <f t="shared" si="2"/>
        <v/>
      </c>
      <c r="M109" s="197" t="str">
        <f t="shared" si="9"/>
        <v/>
      </c>
      <c r="N109" s="198" t="str">
        <f t="shared" si="3"/>
        <v/>
      </c>
      <c r="O109" s="198" t="str">
        <f t="shared" si="10"/>
        <v/>
      </c>
      <c r="P109" s="198"/>
      <c r="Q109" s="198">
        <f t="shared" si="4"/>
        <v>0</v>
      </c>
      <c r="R109" s="198">
        <f t="shared" si="5"/>
        <v>0</v>
      </c>
      <c r="S109" s="199">
        <f t="shared" si="6"/>
        <v>0</v>
      </c>
      <c r="T109" s="198">
        <f t="shared" si="7"/>
        <v>0</v>
      </c>
      <c r="U109" s="198"/>
      <c r="V109" s="198"/>
      <c r="W109" s="198">
        <f t="shared" si="8"/>
        <v>0</v>
      </c>
      <c r="X109" s="200"/>
    </row>
    <row r="110">
      <c r="A110" s="135"/>
      <c r="B110" s="135"/>
      <c r="C110" s="135"/>
      <c r="D110" s="195"/>
      <c r="E110" s="135" t="str">
        <f>IFERROR(VLOOKUP(C110,'Công T5'!$C$7:$F$89,4,0),"")</f>
        <v/>
      </c>
      <c r="F110" s="137" t="str">
        <f>IFERROR(__xludf.DUMMYFUNCTION("INDEX(FILTER('Công T5'!$B$8:$C$89,'Công T5'!$C$8:$C$89=C110),1,1)"),"")</f>
        <v/>
      </c>
      <c r="G110" s="138" t="str">
        <f>IFERROR(__xludf.DUMMYFUNCTION("IFERROR(INDEX(FILTER('Vân tay'!$A$5:$O270,'Vân tay'!$C$5:$C270=F110,'Vân tay'!$B$5:$B270=D110),1,10),"""")"),"")</f>
        <v/>
      </c>
      <c r="H110" s="138" t="str">
        <f>IFERROR(__xludf.DUMMYFUNCTION("IFERROR(INDEX(FILTER('Vân tay'!$A$5:$O270,'Vân tay'!$C$5:$C270=F110,'Vân tay'!$B$5:$B270=D110),1,11),"""")"),"")</f>
        <v/>
      </c>
      <c r="I110" s="138" t="str">
        <f>IFERROR(__xludf.DUMMYFUNCTION("IFERROR(INDEX(FILTER('Vân tay'!$A$5:$O270,'Vân tay'!$C$5:$C270=F110,'Vân tay'!$B$5:$B270=D110),1,14),"""")"),"")</f>
        <v/>
      </c>
      <c r="J110" s="138" t="str">
        <f>IFERROR(__xludf.DUMMYFUNCTION("IFERROR(INDEX(FILTER('Vân tay'!$A$5:$O270,'Vân tay'!$C$5:$C270=F110,'Vân tay'!$B$5:$B270=D110),1,15),"""")"),"")</f>
        <v/>
      </c>
      <c r="K110" s="196" t="str">
        <f t="shared" si="1"/>
        <v/>
      </c>
      <c r="L110" s="196" t="str">
        <f t="shared" si="2"/>
        <v/>
      </c>
      <c r="M110" s="197" t="str">
        <f t="shared" si="9"/>
        <v/>
      </c>
      <c r="N110" s="198" t="str">
        <f t="shared" si="3"/>
        <v/>
      </c>
      <c r="O110" s="198" t="str">
        <f t="shared" si="10"/>
        <v/>
      </c>
      <c r="P110" s="198"/>
      <c r="Q110" s="198">
        <f t="shared" si="4"/>
        <v>0</v>
      </c>
      <c r="R110" s="198">
        <f t="shared" si="5"/>
        <v>0</v>
      </c>
      <c r="S110" s="199">
        <f t="shared" si="6"/>
        <v>0</v>
      </c>
      <c r="T110" s="198">
        <f t="shared" si="7"/>
        <v>0</v>
      </c>
      <c r="U110" s="198"/>
      <c r="V110" s="198"/>
      <c r="W110" s="198">
        <f t="shared" si="8"/>
        <v>0</v>
      </c>
      <c r="X110" s="200"/>
    </row>
    <row r="111">
      <c r="A111" s="135"/>
      <c r="B111" s="135"/>
      <c r="C111" s="195"/>
      <c r="D111" s="195"/>
      <c r="E111" s="135" t="str">
        <f>IFERROR(VLOOKUP(C111,'Công T5'!$C$7:$F$89,4,0),"")</f>
        <v/>
      </c>
      <c r="F111" s="137" t="str">
        <f>IFERROR(__xludf.DUMMYFUNCTION("INDEX(FILTER('Công T5'!$B$8:$C$89,'Công T5'!$C$8:$C$89=C111),1,1)"),"")</f>
        <v/>
      </c>
      <c r="G111" s="138" t="str">
        <f>IFERROR(__xludf.DUMMYFUNCTION("IFERROR(INDEX(FILTER('Vân tay'!$A$5:$O270,'Vân tay'!$C$5:$C270=F111,'Vân tay'!$B$5:$B270=D111),1,10),"""")"),"")</f>
        <v/>
      </c>
      <c r="H111" s="138" t="str">
        <f>IFERROR(__xludf.DUMMYFUNCTION("IFERROR(INDEX(FILTER('Vân tay'!$A$5:$O270,'Vân tay'!$C$5:$C270=F111,'Vân tay'!$B$5:$B270=D111),1,11),"""")"),"")</f>
        <v/>
      </c>
      <c r="I111" s="138" t="str">
        <f>IFERROR(__xludf.DUMMYFUNCTION("IFERROR(INDEX(FILTER('Vân tay'!$A$5:$O270,'Vân tay'!$C$5:$C270=F111,'Vân tay'!$B$5:$B270=D111),1,14),"""")"),"")</f>
        <v/>
      </c>
      <c r="J111" s="138" t="str">
        <f>IFERROR(__xludf.DUMMYFUNCTION("IFERROR(INDEX(FILTER('Vân tay'!$A$5:$O270,'Vân tay'!$C$5:$C270=F111,'Vân tay'!$B$5:$B270=D111),1,15),"""")"),"")</f>
        <v/>
      </c>
      <c r="K111" s="196" t="str">
        <f t="shared" si="1"/>
        <v/>
      </c>
      <c r="L111" s="196" t="str">
        <f t="shared" si="2"/>
        <v/>
      </c>
      <c r="M111" s="197" t="str">
        <f t="shared" si="9"/>
        <v/>
      </c>
      <c r="N111" s="198" t="str">
        <f t="shared" si="3"/>
        <v/>
      </c>
      <c r="O111" s="198" t="str">
        <f t="shared" si="10"/>
        <v/>
      </c>
      <c r="P111" s="198"/>
      <c r="Q111" s="198">
        <f t="shared" si="4"/>
        <v>0</v>
      </c>
      <c r="R111" s="198">
        <f t="shared" si="5"/>
        <v>0</v>
      </c>
      <c r="S111" s="199">
        <f t="shared" si="6"/>
        <v>0</v>
      </c>
      <c r="T111" s="198">
        <f t="shared" si="7"/>
        <v>0</v>
      </c>
      <c r="U111" s="198"/>
      <c r="V111" s="198"/>
      <c r="W111" s="198">
        <f t="shared" si="8"/>
        <v>0</v>
      </c>
      <c r="X111" s="200"/>
    </row>
    <row r="112">
      <c r="A112" s="135"/>
      <c r="B112" s="135"/>
      <c r="C112" s="135"/>
      <c r="D112" s="195"/>
      <c r="E112" s="135" t="str">
        <f>IFERROR(VLOOKUP(C112,'Công T5'!$C$7:$F$89,4,0),"")</f>
        <v/>
      </c>
      <c r="F112" s="137" t="str">
        <f>IFERROR(__xludf.DUMMYFUNCTION("INDEX(FILTER('Công T5'!$B$8:$C$89,'Công T5'!$C$8:$C$89=C112),1,1)"),"")</f>
        <v/>
      </c>
      <c r="G112" s="138" t="str">
        <f>IFERROR(__xludf.DUMMYFUNCTION("IFERROR(INDEX(FILTER('Vân tay'!$A$5:$O270,'Vân tay'!$C$5:$C270=F112,'Vân tay'!$B$5:$B270=D112),1,10),"""")"),"")</f>
        <v/>
      </c>
      <c r="H112" s="138" t="str">
        <f>IFERROR(__xludf.DUMMYFUNCTION("IFERROR(INDEX(FILTER('Vân tay'!$A$5:$O270,'Vân tay'!$C$5:$C270=F112,'Vân tay'!$B$5:$B270=D112),1,11),"""")"),"")</f>
        <v/>
      </c>
      <c r="I112" s="138" t="str">
        <f>IFERROR(__xludf.DUMMYFUNCTION("IFERROR(INDEX(FILTER('Vân tay'!$A$5:$O270,'Vân tay'!$C$5:$C270=F112,'Vân tay'!$B$5:$B270=D112),1,14),"""")"),"")</f>
        <v/>
      </c>
      <c r="J112" s="138" t="str">
        <f>IFERROR(__xludf.DUMMYFUNCTION("IFERROR(INDEX(FILTER('Vân tay'!$A$5:$O270,'Vân tay'!$C$5:$C270=F112,'Vân tay'!$B$5:$B270=D112),1,15),"""")"),"")</f>
        <v/>
      </c>
      <c r="K112" s="196" t="str">
        <f t="shared" si="1"/>
        <v/>
      </c>
      <c r="L112" s="196" t="str">
        <f t="shared" si="2"/>
        <v/>
      </c>
      <c r="M112" s="197" t="str">
        <f t="shared" si="9"/>
        <v/>
      </c>
      <c r="N112" s="198" t="str">
        <f t="shared" si="3"/>
        <v/>
      </c>
      <c r="O112" s="198" t="str">
        <f t="shared" si="10"/>
        <v/>
      </c>
      <c r="P112" s="198"/>
      <c r="Q112" s="198">
        <f t="shared" si="4"/>
        <v>0</v>
      </c>
      <c r="R112" s="198">
        <f t="shared" si="5"/>
        <v>0</v>
      </c>
      <c r="S112" s="199">
        <f t="shared" si="6"/>
        <v>0</v>
      </c>
      <c r="T112" s="198">
        <f t="shared" si="7"/>
        <v>0</v>
      </c>
      <c r="U112" s="198"/>
      <c r="V112" s="198"/>
      <c r="W112" s="198">
        <f t="shared" si="8"/>
        <v>0</v>
      </c>
      <c r="X112" s="200"/>
    </row>
    <row r="113">
      <c r="A113" s="135"/>
      <c r="B113" s="135"/>
      <c r="C113" s="135"/>
      <c r="D113" s="195"/>
      <c r="E113" s="135" t="str">
        <f>IFERROR(VLOOKUP(C113,'Công T5'!$C$7:$F$89,4,0),"")</f>
        <v/>
      </c>
      <c r="F113" s="137" t="str">
        <f>IFERROR(__xludf.DUMMYFUNCTION("INDEX(FILTER('Công T5'!$B$8:$C$89,'Công T5'!$C$8:$C$89=C113),1,1)"),"")</f>
        <v/>
      </c>
      <c r="G113" s="138" t="str">
        <f>IFERROR(__xludf.DUMMYFUNCTION("IFERROR(INDEX(FILTER('Vân tay'!$A$5:$O270,'Vân tay'!$C$5:$C270=F113,'Vân tay'!$B$5:$B270=D113),1,10),"""")"),"")</f>
        <v/>
      </c>
      <c r="H113" s="138" t="str">
        <f>IFERROR(__xludf.DUMMYFUNCTION("IFERROR(INDEX(FILTER('Vân tay'!$A$5:$O270,'Vân tay'!$C$5:$C270=F113,'Vân tay'!$B$5:$B270=D113),1,11),"""")"),"")</f>
        <v/>
      </c>
      <c r="I113" s="138" t="str">
        <f>IFERROR(__xludf.DUMMYFUNCTION("IFERROR(INDEX(FILTER('Vân tay'!$A$5:$O270,'Vân tay'!$C$5:$C270=F113,'Vân tay'!$B$5:$B270=D113),1,14),"""")"),"")</f>
        <v/>
      </c>
      <c r="J113" s="138" t="str">
        <f>IFERROR(__xludf.DUMMYFUNCTION("IFERROR(INDEX(FILTER('Vân tay'!$A$5:$O270,'Vân tay'!$C$5:$C270=F113,'Vân tay'!$B$5:$B270=D113),1,15),"""")"),"")</f>
        <v/>
      </c>
      <c r="K113" s="196" t="str">
        <f t="shared" si="1"/>
        <v/>
      </c>
      <c r="L113" s="196" t="str">
        <f t="shared" si="2"/>
        <v/>
      </c>
      <c r="M113" s="197" t="str">
        <f t="shared" si="9"/>
        <v/>
      </c>
      <c r="N113" s="198" t="str">
        <f t="shared" si="3"/>
        <v/>
      </c>
      <c r="O113" s="198" t="str">
        <f t="shared" si="10"/>
        <v/>
      </c>
      <c r="P113" s="198"/>
      <c r="Q113" s="198">
        <f t="shared" si="4"/>
        <v>0</v>
      </c>
      <c r="R113" s="198">
        <f t="shared" si="5"/>
        <v>0</v>
      </c>
      <c r="S113" s="199">
        <f t="shared" si="6"/>
        <v>0</v>
      </c>
      <c r="T113" s="198">
        <f t="shared" si="7"/>
        <v>0</v>
      </c>
      <c r="U113" s="198"/>
      <c r="V113" s="198"/>
      <c r="W113" s="198">
        <f t="shared" si="8"/>
        <v>0</v>
      </c>
      <c r="X113" s="200"/>
    </row>
    <row r="114">
      <c r="A114" s="135"/>
      <c r="B114" s="135"/>
      <c r="C114" s="135"/>
      <c r="D114" s="195"/>
      <c r="E114" s="135" t="str">
        <f>IFERROR(VLOOKUP(C114,'Công T5'!$C$7:$F$89,4,0),"")</f>
        <v/>
      </c>
      <c r="F114" s="137" t="str">
        <f>IFERROR(__xludf.DUMMYFUNCTION("INDEX(FILTER('Công T5'!$B$8:$C$89,'Công T5'!$C$8:$C$89=C114),1,1)"),"")</f>
        <v/>
      </c>
      <c r="G114" s="138" t="str">
        <f>IFERROR(__xludf.DUMMYFUNCTION("IFERROR(INDEX(FILTER('Vân tay'!$A$5:$O270,'Vân tay'!$C$5:$C270=F114,'Vân tay'!$B$5:$B270=D114),1,10),"""")"),"")</f>
        <v/>
      </c>
      <c r="H114" s="138" t="str">
        <f>IFERROR(__xludf.DUMMYFUNCTION("IFERROR(INDEX(FILTER('Vân tay'!$A$5:$O270,'Vân tay'!$C$5:$C270=F114,'Vân tay'!$B$5:$B270=D114),1,11),"""")"),"")</f>
        <v/>
      </c>
      <c r="I114" s="138" t="str">
        <f>IFERROR(__xludf.DUMMYFUNCTION("IFERROR(INDEX(FILTER('Vân tay'!$A$5:$O270,'Vân tay'!$C$5:$C270=F114,'Vân tay'!$B$5:$B270=D114),1,14),"""")"),"")</f>
        <v/>
      </c>
      <c r="J114" s="138" t="str">
        <f>IFERROR(__xludf.DUMMYFUNCTION("IFERROR(INDEX(FILTER('Vân tay'!$A$5:$O270,'Vân tay'!$C$5:$C270=F114,'Vân tay'!$B$5:$B270=D114),1,15),"""")"),"")</f>
        <v/>
      </c>
      <c r="K114" s="196" t="str">
        <f t="shared" si="1"/>
        <v/>
      </c>
      <c r="L114" s="196" t="str">
        <f t="shared" si="2"/>
        <v/>
      </c>
      <c r="M114" s="197" t="str">
        <f t="shared" si="9"/>
        <v/>
      </c>
      <c r="N114" s="198" t="str">
        <f t="shared" si="3"/>
        <v/>
      </c>
      <c r="O114" s="198" t="str">
        <f t="shared" si="10"/>
        <v/>
      </c>
      <c r="P114" s="198"/>
      <c r="Q114" s="198">
        <f t="shared" si="4"/>
        <v>0</v>
      </c>
      <c r="R114" s="198">
        <f t="shared" si="5"/>
        <v>0</v>
      </c>
      <c r="S114" s="199">
        <f t="shared" si="6"/>
        <v>0</v>
      </c>
      <c r="T114" s="198">
        <f t="shared" si="7"/>
        <v>0</v>
      </c>
      <c r="U114" s="198"/>
      <c r="V114" s="198"/>
      <c r="W114" s="198">
        <f t="shared" si="8"/>
        <v>0</v>
      </c>
      <c r="X114" s="200"/>
    </row>
    <row r="115">
      <c r="A115" s="135"/>
      <c r="B115" s="135"/>
      <c r="C115" s="135"/>
      <c r="D115" s="195"/>
      <c r="E115" s="135" t="str">
        <f>IFERROR(VLOOKUP(C115,'Công T5'!$C$7:$F$89,4,0),"")</f>
        <v/>
      </c>
      <c r="F115" s="137" t="str">
        <f>IFERROR(__xludf.DUMMYFUNCTION("INDEX(FILTER('Công T5'!$B$8:$C$89,'Công T5'!$C$8:$C$89=C115),1,1)"),"")</f>
        <v/>
      </c>
      <c r="G115" s="138" t="str">
        <f>IFERROR(__xludf.DUMMYFUNCTION("IFERROR(INDEX(FILTER('Vân tay'!$A$5:$O270,'Vân tay'!$C$5:$C270=F115,'Vân tay'!$B$5:$B270=D115),1,10),"""")"),"")</f>
        <v/>
      </c>
      <c r="H115" s="138" t="str">
        <f>IFERROR(__xludf.DUMMYFUNCTION("IFERROR(INDEX(FILTER('Vân tay'!$A$5:$O270,'Vân tay'!$C$5:$C270=F115,'Vân tay'!$B$5:$B270=D115),1,11),"""")"),"")</f>
        <v/>
      </c>
      <c r="I115" s="138" t="str">
        <f>IFERROR(__xludf.DUMMYFUNCTION("IFERROR(INDEX(FILTER('Vân tay'!$A$5:$O270,'Vân tay'!$C$5:$C270=F115,'Vân tay'!$B$5:$B270=D115),1,14),"""")"),"")</f>
        <v/>
      </c>
      <c r="J115" s="138" t="str">
        <f>IFERROR(__xludf.DUMMYFUNCTION("IFERROR(INDEX(FILTER('Vân tay'!$A$5:$O270,'Vân tay'!$C$5:$C270=F115,'Vân tay'!$B$5:$B270=D115),1,15),"""")"),"")</f>
        <v/>
      </c>
      <c r="K115" s="196" t="str">
        <f t="shared" si="1"/>
        <v/>
      </c>
      <c r="L115" s="196" t="str">
        <f t="shared" si="2"/>
        <v/>
      </c>
      <c r="M115" s="197" t="str">
        <f t="shared" si="9"/>
        <v/>
      </c>
      <c r="N115" s="198" t="str">
        <f t="shared" si="3"/>
        <v/>
      </c>
      <c r="O115" s="198" t="str">
        <f t="shared" si="10"/>
        <v/>
      </c>
      <c r="P115" s="198"/>
      <c r="Q115" s="198">
        <f t="shared" si="4"/>
        <v>0</v>
      </c>
      <c r="R115" s="198">
        <f t="shared" si="5"/>
        <v>0</v>
      </c>
      <c r="S115" s="199">
        <f t="shared" si="6"/>
        <v>0</v>
      </c>
      <c r="T115" s="198">
        <f t="shared" si="7"/>
        <v>0</v>
      </c>
      <c r="U115" s="198"/>
      <c r="V115" s="198"/>
      <c r="W115" s="198">
        <f t="shared" si="8"/>
        <v>0</v>
      </c>
      <c r="X115" s="200"/>
    </row>
    <row r="116">
      <c r="A116" s="135"/>
      <c r="B116" s="135"/>
      <c r="C116" s="135"/>
      <c r="D116" s="195"/>
      <c r="E116" s="135" t="str">
        <f>IFERROR(VLOOKUP(C116,'Công T5'!$C$7:$F$89,4,0),"")</f>
        <v/>
      </c>
      <c r="F116" s="137" t="str">
        <f>IFERROR(__xludf.DUMMYFUNCTION("INDEX(FILTER('Công T5'!$B$8:$C$89,'Công T5'!$C$8:$C$89=C116),1,1)"),"")</f>
        <v/>
      </c>
      <c r="G116" s="138" t="str">
        <f>IFERROR(__xludf.DUMMYFUNCTION("IFERROR(INDEX(FILTER('Vân tay'!$A$5:$O270,'Vân tay'!$C$5:$C270=F116,'Vân tay'!$B$5:$B270=D116),1,10),"""")"),"")</f>
        <v/>
      </c>
      <c r="H116" s="138" t="str">
        <f>IFERROR(__xludf.DUMMYFUNCTION("IFERROR(INDEX(FILTER('Vân tay'!$A$5:$O270,'Vân tay'!$C$5:$C270=F116,'Vân tay'!$B$5:$B270=D116),1,11),"""")"),"")</f>
        <v/>
      </c>
      <c r="I116" s="138" t="str">
        <f>IFERROR(__xludf.DUMMYFUNCTION("IFERROR(INDEX(FILTER('Vân tay'!$A$5:$O270,'Vân tay'!$C$5:$C270=F116,'Vân tay'!$B$5:$B270=D116),1,14),"""")"),"")</f>
        <v/>
      </c>
      <c r="J116" s="138" t="str">
        <f>IFERROR(__xludf.DUMMYFUNCTION("IFERROR(INDEX(FILTER('Vân tay'!$A$5:$O270,'Vân tay'!$C$5:$C270=F116,'Vân tay'!$B$5:$B270=D116),1,15),"""")"),"")</f>
        <v/>
      </c>
      <c r="K116" s="196" t="str">
        <f t="shared" si="1"/>
        <v/>
      </c>
      <c r="L116" s="196" t="str">
        <f t="shared" si="2"/>
        <v/>
      </c>
      <c r="M116" s="197" t="str">
        <f t="shared" si="9"/>
        <v/>
      </c>
      <c r="N116" s="198" t="str">
        <f t="shared" si="3"/>
        <v/>
      </c>
      <c r="O116" s="198" t="str">
        <f t="shared" si="10"/>
        <v/>
      </c>
      <c r="P116" s="198"/>
      <c r="Q116" s="198">
        <f t="shared" si="4"/>
        <v>0</v>
      </c>
      <c r="R116" s="198">
        <f t="shared" si="5"/>
        <v>0</v>
      </c>
      <c r="S116" s="199">
        <f t="shared" si="6"/>
        <v>0</v>
      </c>
      <c r="T116" s="198">
        <f t="shared" si="7"/>
        <v>0</v>
      </c>
      <c r="U116" s="198"/>
      <c r="V116" s="198"/>
      <c r="W116" s="198">
        <f t="shared" si="8"/>
        <v>0</v>
      </c>
      <c r="X116" s="200"/>
    </row>
    <row r="117">
      <c r="A117" s="135"/>
      <c r="B117" s="135"/>
      <c r="C117" s="135"/>
      <c r="D117" s="195"/>
      <c r="E117" s="135" t="str">
        <f>IFERROR(VLOOKUP(C117,'Công T5'!$C$7:$F$89,4,0),"")</f>
        <v/>
      </c>
      <c r="F117" s="137" t="str">
        <f>IFERROR(__xludf.DUMMYFUNCTION("INDEX(FILTER('Công T5'!$B$8:$C$89,'Công T5'!$C$8:$C$89=C117),1,1)"),"")</f>
        <v/>
      </c>
      <c r="G117" s="138" t="str">
        <f>IFERROR(__xludf.DUMMYFUNCTION("IFERROR(INDEX(FILTER('Vân tay'!$A$5:$O270,'Vân tay'!$C$5:$C270=F117,'Vân tay'!$B$5:$B270=D117),1,10),"""")"),"")</f>
        <v/>
      </c>
      <c r="H117" s="138" t="str">
        <f>IFERROR(__xludf.DUMMYFUNCTION("IFERROR(INDEX(FILTER('Vân tay'!$A$5:$O270,'Vân tay'!$C$5:$C270=F117,'Vân tay'!$B$5:$B270=D117),1,11),"""")"),"")</f>
        <v/>
      </c>
      <c r="I117" s="138" t="str">
        <f>IFERROR(__xludf.DUMMYFUNCTION("IFERROR(INDEX(FILTER('Vân tay'!$A$5:$O270,'Vân tay'!$C$5:$C270=F117,'Vân tay'!$B$5:$B270=D117),1,14),"""")"),"")</f>
        <v/>
      </c>
      <c r="J117" s="138" t="str">
        <f>IFERROR(__xludf.DUMMYFUNCTION("IFERROR(INDEX(FILTER('Vân tay'!$A$5:$O270,'Vân tay'!$C$5:$C270=F117,'Vân tay'!$B$5:$B270=D117),1,15),"""")"),"")</f>
        <v/>
      </c>
      <c r="K117" s="196" t="str">
        <f t="shared" si="1"/>
        <v/>
      </c>
      <c r="L117" s="196" t="str">
        <f t="shared" si="2"/>
        <v/>
      </c>
      <c r="M117" s="197" t="str">
        <f t="shared" si="9"/>
        <v/>
      </c>
      <c r="N117" s="198" t="str">
        <f t="shared" si="3"/>
        <v/>
      </c>
      <c r="O117" s="198" t="str">
        <f t="shared" si="10"/>
        <v/>
      </c>
      <c r="P117" s="198"/>
      <c r="Q117" s="198">
        <f t="shared" si="4"/>
        <v>0</v>
      </c>
      <c r="R117" s="198">
        <f t="shared" si="5"/>
        <v>0</v>
      </c>
      <c r="S117" s="199">
        <f t="shared" si="6"/>
        <v>0</v>
      </c>
      <c r="T117" s="198">
        <f t="shared" si="7"/>
        <v>0</v>
      </c>
      <c r="U117" s="198"/>
      <c r="V117" s="198"/>
      <c r="W117" s="198">
        <f t="shared" si="8"/>
        <v>0</v>
      </c>
      <c r="X117" s="200"/>
    </row>
    <row r="118">
      <c r="A118" s="135"/>
      <c r="B118" s="135"/>
      <c r="C118" s="135"/>
      <c r="D118" s="195"/>
      <c r="E118" s="135" t="str">
        <f>IFERROR(VLOOKUP(C118,'Công T5'!$C$7:$F$89,4,0),"")</f>
        <v/>
      </c>
      <c r="F118" s="137" t="str">
        <f>IFERROR(__xludf.DUMMYFUNCTION("INDEX(FILTER('Công T5'!$B$8:$C$89,'Công T5'!$C$8:$C$89=C118),1,1)"),"")</f>
        <v/>
      </c>
      <c r="G118" s="138" t="str">
        <f>IFERROR(__xludf.DUMMYFUNCTION("IFERROR(INDEX(FILTER('Vân tay'!$A$5:$O270,'Vân tay'!$C$5:$C270=F118,'Vân tay'!$B$5:$B270=D118),1,10),"""")"),"")</f>
        <v/>
      </c>
      <c r="H118" s="138" t="str">
        <f>IFERROR(__xludf.DUMMYFUNCTION("IFERROR(INDEX(FILTER('Vân tay'!$A$5:$O270,'Vân tay'!$C$5:$C270=F118,'Vân tay'!$B$5:$B270=D118),1,11),"""")"),"")</f>
        <v/>
      </c>
      <c r="I118" s="138" t="str">
        <f>IFERROR(__xludf.DUMMYFUNCTION("IFERROR(INDEX(FILTER('Vân tay'!$A$5:$O270,'Vân tay'!$C$5:$C270=F118,'Vân tay'!$B$5:$B270=D118),1,14),"""")"),"")</f>
        <v/>
      </c>
      <c r="J118" s="138" t="str">
        <f>IFERROR(__xludf.DUMMYFUNCTION("IFERROR(INDEX(FILTER('Vân tay'!$A$5:$O270,'Vân tay'!$C$5:$C270=F118,'Vân tay'!$B$5:$B270=D118),1,15),"""")"),"")</f>
        <v/>
      </c>
      <c r="K118" s="196" t="str">
        <f t="shared" si="1"/>
        <v/>
      </c>
      <c r="L118" s="196" t="str">
        <f t="shared" si="2"/>
        <v/>
      </c>
      <c r="M118" s="197" t="str">
        <f t="shared" si="9"/>
        <v/>
      </c>
      <c r="N118" s="198" t="str">
        <f t="shared" si="3"/>
        <v/>
      </c>
      <c r="O118" s="198" t="str">
        <f t="shared" si="10"/>
        <v/>
      </c>
      <c r="P118" s="198"/>
      <c r="Q118" s="198">
        <f t="shared" si="4"/>
        <v>0</v>
      </c>
      <c r="R118" s="198">
        <f t="shared" si="5"/>
        <v>0</v>
      </c>
      <c r="S118" s="199">
        <f t="shared" si="6"/>
        <v>0</v>
      </c>
      <c r="T118" s="198">
        <f t="shared" si="7"/>
        <v>0</v>
      </c>
      <c r="U118" s="198"/>
      <c r="V118" s="198"/>
      <c r="W118" s="198">
        <f t="shared" si="8"/>
        <v>0</v>
      </c>
      <c r="X118" s="200"/>
    </row>
    <row r="119">
      <c r="A119" s="135"/>
      <c r="B119" s="135"/>
      <c r="C119" s="135"/>
      <c r="D119" s="195"/>
      <c r="E119" s="135" t="str">
        <f>IFERROR(VLOOKUP(C119,'Công T5'!$C$7:$F$89,4,0),"")</f>
        <v/>
      </c>
      <c r="F119" s="137" t="str">
        <f>IFERROR(__xludf.DUMMYFUNCTION("INDEX(FILTER('Công T5'!$B$8:$C$89,'Công T5'!$C$8:$C$89=C119),1,1)"),"")</f>
        <v/>
      </c>
      <c r="G119" s="138" t="str">
        <f>IFERROR(__xludf.DUMMYFUNCTION("IFERROR(INDEX(FILTER('Vân tay'!$A$5:$O270,'Vân tay'!$C$5:$C270=F119,'Vân tay'!$B$5:$B270=D119),1,10),"""")"),"")</f>
        <v/>
      </c>
      <c r="H119" s="138" t="str">
        <f>IFERROR(__xludf.DUMMYFUNCTION("IFERROR(INDEX(FILTER('Vân tay'!$A$5:$O270,'Vân tay'!$C$5:$C270=F119,'Vân tay'!$B$5:$B270=D119),1,11),"""")"),"")</f>
        <v/>
      </c>
      <c r="I119" s="138" t="str">
        <f>IFERROR(__xludf.DUMMYFUNCTION("IFERROR(INDEX(FILTER('Vân tay'!$A$5:$O270,'Vân tay'!$C$5:$C270=F119,'Vân tay'!$B$5:$B270=D119),1,14),"""")"),"")</f>
        <v/>
      </c>
      <c r="J119" s="138" t="str">
        <f>IFERROR(__xludf.DUMMYFUNCTION("IFERROR(INDEX(FILTER('Vân tay'!$A$5:$O270,'Vân tay'!$C$5:$C270=F119,'Vân tay'!$B$5:$B270=D119),1,15),"""")"),"")</f>
        <v/>
      </c>
      <c r="K119" s="196" t="str">
        <f t="shared" si="1"/>
        <v/>
      </c>
      <c r="L119" s="196" t="str">
        <f t="shared" si="2"/>
        <v/>
      </c>
      <c r="M119" s="197" t="str">
        <f t="shared" si="9"/>
        <v/>
      </c>
      <c r="N119" s="198" t="str">
        <f t="shared" si="3"/>
        <v/>
      </c>
      <c r="O119" s="198" t="str">
        <f t="shared" si="10"/>
        <v/>
      </c>
      <c r="P119" s="198"/>
      <c r="Q119" s="198">
        <f t="shared" si="4"/>
        <v>0</v>
      </c>
      <c r="R119" s="198">
        <f t="shared" si="5"/>
        <v>0</v>
      </c>
      <c r="S119" s="199">
        <f t="shared" si="6"/>
        <v>0</v>
      </c>
      <c r="T119" s="198">
        <f t="shared" si="7"/>
        <v>0</v>
      </c>
      <c r="U119" s="198"/>
      <c r="V119" s="198"/>
      <c r="W119" s="198">
        <f t="shared" si="8"/>
        <v>0</v>
      </c>
      <c r="X119" s="200"/>
    </row>
    <row r="120">
      <c r="A120" s="135"/>
      <c r="B120" s="135"/>
      <c r="C120" s="135"/>
      <c r="D120" s="195"/>
      <c r="E120" s="135" t="str">
        <f>IFERROR(VLOOKUP(C120,'Công T5'!$C$7:$F$89,4,0),"")</f>
        <v/>
      </c>
      <c r="F120" s="137" t="str">
        <f>IFERROR(__xludf.DUMMYFUNCTION("INDEX(FILTER('Công T5'!$B$8:$C$89,'Công T5'!$C$8:$C$89=C120),1,1)"),"")</f>
        <v/>
      </c>
      <c r="G120" s="138" t="str">
        <f>IFERROR(__xludf.DUMMYFUNCTION("IFERROR(INDEX(FILTER('Vân tay'!$A$5:$O270,'Vân tay'!$C$5:$C270=F120,'Vân tay'!$B$5:$B270=D120),1,10),"""")"),"")</f>
        <v/>
      </c>
      <c r="H120" s="138" t="str">
        <f>IFERROR(__xludf.DUMMYFUNCTION("IFERROR(INDEX(FILTER('Vân tay'!$A$5:$O270,'Vân tay'!$C$5:$C270=F120,'Vân tay'!$B$5:$B270=D120),1,11),"""")"),"")</f>
        <v/>
      </c>
      <c r="I120" s="138" t="str">
        <f>IFERROR(__xludf.DUMMYFUNCTION("IFERROR(INDEX(FILTER('Vân tay'!$A$5:$O270,'Vân tay'!$C$5:$C270=F120,'Vân tay'!$B$5:$B270=D120),1,14),"""")"),"")</f>
        <v/>
      </c>
      <c r="J120" s="138" t="str">
        <f>IFERROR(__xludf.DUMMYFUNCTION("IFERROR(INDEX(FILTER('Vân tay'!$A$5:$O270,'Vân tay'!$C$5:$C270=F120,'Vân tay'!$B$5:$B270=D120),1,15),"""")"),"")</f>
        <v/>
      </c>
      <c r="K120" s="196" t="str">
        <f t="shared" si="1"/>
        <v/>
      </c>
      <c r="L120" s="196" t="str">
        <f t="shared" si="2"/>
        <v/>
      </c>
      <c r="M120" s="197" t="str">
        <f t="shared" si="9"/>
        <v/>
      </c>
      <c r="N120" s="198" t="str">
        <f t="shared" si="3"/>
        <v/>
      </c>
      <c r="O120" s="198" t="str">
        <f t="shared" si="10"/>
        <v/>
      </c>
      <c r="P120" s="198"/>
      <c r="Q120" s="198">
        <f t="shared" si="4"/>
        <v>0</v>
      </c>
      <c r="R120" s="198">
        <f t="shared" si="5"/>
        <v>0</v>
      </c>
      <c r="S120" s="199">
        <f t="shared" si="6"/>
        <v>0</v>
      </c>
      <c r="T120" s="198">
        <f t="shared" si="7"/>
        <v>0</v>
      </c>
      <c r="U120" s="198"/>
      <c r="V120" s="198"/>
      <c r="W120" s="198">
        <f t="shared" si="8"/>
        <v>0</v>
      </c>
      <c r="X120" s="200"/>
    </row>
    <row r="121">
      <c r="A121" s="135"/>
      <c r="B121" s="135"/>
      <c r="C121" s="135"/>
      <c r="D121" s="195"/>
      <c r="E121" s="135" t="str">
        <f>IFERROR(VLOOKUP(C121,'Công T5'!$C$7:$F$89,4,0),"")</f>
        <v/>
      </c>
      <c r="F121" s="137" t="str">
        <f>IFERROR(__xludf.DUMMYFUNCTION("INDEX(FILTER('Công T5'!$B$8:$C$89,'Công T5'!$C$8:$C$89=C121),1,1)"),"")</f>
        <v/>
      </c>
      <c r="G121" s="138" t="str">
        <f>IFERROR(__xludf.DUMMYFUNCTION("IFERROR(INDEX(FILTER('Vân tay'!$A$5:$O270,'Vân tay'!$C$5:$C270=F121,'Vân tay'!$B$5:$B270=D121),1,10),"""")"),"")</f>
        <v/>
      </c>
      <c r="H121" s="138" t="str">
        <f>IFERROR(__xludf.DUMMYFUNCTION("IFERROR(INDEX(FILTER('Vân tay'!$A$5:$O270,'Vân tay'!$C$5:$C270=F121,'Vân tay'!$B$5:$B270=D121),1,11),"""")"),"")</f>
        <v/>
      </c>
      <c r="I121" s="138" t="str">
        <f>IFERROR(__xludf.DUMMYFUNCTION("IFERROR(INDEX(FILTER('Vân tay'!$A$5:$O270,'Vân tay'!$C$5:$C270=F121,'Vân tay'!$B$5:$B270=D121),1,14),"""")"),"")</f>
        <v/>
      </c>
      <c r="J121" s="138" t="str">
        <f>IFERROR(__xludf.DUMMYFUNCTION("IFERROR(INDEX(FILTER('Vân tay'!$A$5:$O270,'Vân tay'!$C$5:$C270=F121,'Vân tay'!$B$5:$B270=D121),1,15),"""")"),"")</f>
        <v/>
      </c>
      <c r="K121" s="196" t="str">
        <f t="shared" si="1"/>
        <v/>
      </c>
      <c r="L121" s="196" t="str">
        <f t="shared" si="2"/>
        <v/>
      </c>
      <c r="M121" s="197" t="str">
        <f t="shared" si="9"/>
        <v/>
      </c>
      <c r="N121" s="198" t="str">
        <f t="shared" si="3"/>
        <v/>
      </c>
      <c r="O121" s="198" t="str">
        <f t="shared" si="10"/>
        <v/>
      </c>
      <c r="P121" s="198"/>
      <c r="Q121" s="198">
        <f t="shared" si="4"/>
        <v>0</v>
      </c>
      <c r="R121" s="198">
        <f t="shared" si="5"/>
        <v>0</v>
      </c>
      <c r="S121" s="199">
        <f t="shared" si="6"/>
        <v>0</v>
      </c>
      <c r="T121" s="198">
        <f t="shared" si="7"/>
        <v>0</v>
      </c>
      <c r="U121" s="198"/>
      <c r="V121" s="198"/>
      <c r="W121" s="198">
        <f t="shared" si="8"/>
        <v>0</v>
      </c>
      <c r="X121" s="200"/>
    </row>
    <row r="122">
      <c r="A122" s="135"/>
      <c r="B122" s="135"/>
      <c r="C122" s="135"/>
      <c r="D122" s="195"/>
      <c r="E122" s="135" t="str">
        <f>IFERROR(VLOOKUP(C122,'Công T5'!$C$7:$F$89,4,0),"")</f>
        <v/>
      </c>
      <c r="F122" s="137" t="str">
        <f>IFERROR(__xludf.DUMMYFUNCTION("INDEX(FILTER('Công T5'!$B$8:$C$89,'Công T5'!$C$8:$C$89=C122),1,1)"),"")</f>
        <v/>
      </c>
      <c r="G122" s="138" t="str">
        <f>IFERROR(__xludf.DUMMYFUNCTION("IFERROR(INDEX(FILTER('Vân tay'!$A$5:$O270,'Vân tay'!$C$5:$C270=F122,'Vân tay'!$B$5:$B270=D122),1,10),"""")"),"")</f>
        <v/>
      </c>
      <c r="H122" s="138" t="str">
        <f>IFERROR(__xludf.DUMMYFUNCTION("IFERROR(INDEX(FILTER('Vân tay'!$A$5:$O270,'Vân tay'!$C$5:$C270=F122,'Vân tay'!$B$5:$B270=D122),1,11),"""")"),"")</f>
        <v/>
      </c>
      <c r="I122" s="138" t="str">
        <f>IFERROR(__xludf.DUMMYFUNCTION("IFERROR(INDEX(FILTER('Vân tay'!$A$5:$O270,'Vân tay'!$C$5:$C270=F122,'Vân tay'!$B$5:$B270=D122),1,14),"""")"),"")</f>
        <v/>
      </c>
      <c r="J122" s="138" t="str">
        <f>IFERROR(__xludf.DUMMYFUNCTION("IFERROR(INDEX(FILTER('Vân tay'!$A$5:$O270,'Vân tay'!$C$5:$C270=F122,'Vân tay'!$B$5:$B270=D122),1,15),"""")"),"")</f>
        <v/>
      </c>
      <c r="K122" s="196" t="str">
        <f t="shared" si="1"/>
        <v/>
      </c>
      <c r="L122" s="196" t="str">
        <f t="shared" si="2"/>
        <v/>
      </c>
      <c r="M122" s="197" t="str">
        <f t="shared" si="9"/>
        <v/>
      </c>
      <c r="N122" s="198" t="str">
        <f t="shared" si="3"/>
        <v/>
      </c>
      <c r="O122" s="198" t="str">
        <f t="shared" si="10"/>
        <v/>
      </c>
      <c r="P122" s="198"/>
      <c r="Q122" s="198">
        <f t="shared" si="4"/>
        <v>0</v>
      </c>
      <c r="R122" s="198">
        <f t="shared" si="5"/>
        <v>0</v>
      </c>
      <c r="S122" s="199">
        <f t="shared" si="6"/>
        <v>0</v>
      </c>
      <c r="T122" s="198">
        <f t="shared" si="7"/>
        <v>0</v>
      </c>
      <c r="U122" s="198"/>
      <c r="V122" s="198"/>
      <c r="W122" s="198">
        <f t="shared" si="8"/>
        <v>0</v>
      </c>
      <c r="X122" s="200"/>
    </row>
    <row r="123">
      <c r="A123" s="135"/>
      <c r="B123" s="135"/>
      <c r="C123" s="135"/>
      <c r="D123" s="195"/>
      <c r="E123" s="135" t="str">
        <f>IFERROR(VLOOKUP(C123,'Công T5'!$C$7:$F$89,4,0),"")</f>
        <v/>
      </c>
      <c r="F123" s="137" t="str">
        <f>IFERROR(__xludf.DUMMYFUNCTION("INDEX(FILTER('Công T5'!$B$8:$C$89,'Công T5'!$C$8:$C$89=C123),1,1)"),"")</f>
        <v/>
      </c>
      <c r="G123" s="138" t="str">
        <f>IFERROR(__xludf.DUMMYFUNCTION("IFERROR(INDEX(FILTER('Vân tay'!$A$5:$O270,'Vân tay'!$C$5:$C270=F123,'Vân tay'!$B$5:$B270=D123),1,10),"""")"),"")</f>
        <v/>
      </c>
      <c r="H123" s="138" t="str">
        <f>IFERROR(__xludf.DUMMYFUNCTION("IFERROR(INDEX(FILTER('Vân tay'!$A$5:$O270,'Vân tay'!$C$5:$C270=F123,'Vân tay'!$B$5:$B270=D123),1,11),"""")"),"")</f>
        <v/>
      </c>
      <c r="I123" s="138" t="str">
        <f>IFERROR(__xludf.DUMMYFUNCTION("IFERROR(INDEX(FILTER('Vân tay'!$A$5:$O270,'Vân tay'!$C$5:$C270=F123,'Vân tay'!$B$5:$B270=D123),1,14),"""")"),"")</f>
        <v/>
      </c>
      <c r="J123" s="138" t="str">
        <f>IFERROR(__xludf.DUMMYFUNCTION("IFERROR(INDEX(FILTER('Vân tay'!$A$5:$O270,'Vân tay'!$C$5:$C270=F123,'Vân tay'!$B$5:$B270=D123),1,15),"""")"),"")</f>
        <v/>
      </c>
      <c r="K123" s="196" t="str">
        <f t="shared" si="1"/>
        <v/>
      </c>
      <c r="L123" s="196" t="str">
        <f t="shared" si="2"/>
        <v/>
      </c>
      <c r="M123" s="197" t="str">
        <f t="shared" si="9"/>
        <v/>
      </c>
      <c r="N123" s="198" t="str">
        <f t="shared" si="3"/>
        <v/>
      </c>
      <c r="O123" s="198" t="str">
        <f t="shared" si="10"/>
        <v/>
      </c>
      <c r="P123" s="198"/>
      <c r="Q123" s="198">
        <f t="shared" si="4"/>
        <v>0</v>
      </c>
      <c r="R123" s="198">
        <f t="shared" si="5"/>
        <v>0</v>
      </c>
      <c r="S123" s="199">
        <f t="shared" si="6"/>
        <v>0</v>
      </c>
      <c r="T123" s="198">
        <f t="shared" si="7"/>
        <v>0</v>
      </c>
      <c r="U123" s="198"/>
      <c r="V123" s="198"/>
      <c r="W123" s="198">
        <f t="shared" si="8"/>
        <v>0</v>
      </c>
      <c r="X123" s="200"/>
    </row>
    <row r="124">
      <c r="A124" s="135"/>
      <c r="B124" s="135"/>
      <c r="C124" s="135"/>
      <c r="D124" s="195"/>
      <c r="E124" s="135" t="str">
        <f>IFERROR(VLOOKUP(C124,'Công T5'!$C$7:$F$89,4,0),"")</f>
        <v/>
      </c>
      <c r="F124" s="137" t="str">
        <f>IFERROR(__xludf.DUMMYFUNCTION("INDEX(FILTER('Công T5'!$B$8:$C$89,'Công T5'!$C$8:$C$89=C124),1,1)"),"")</f>
        <v/>
      </c>
      <c r="G124" s="138" t="str">
        <f>IFERROR(__xludf.DUMMYFUNCTION("IFERROR(INDEX(FILTER('Vân tay'!$A$5:$O270,'Vân tay'!$C$5:$C270=F124,'Vân tay'!$B$5:$B270=D124),1,10),"""")"),"")</f>
        <v/>
      </c>
      <c r="H124" s="138" t="str">
        <f>IFERROR(__xludf.DUMMYFUNCTION("IFERROR(INDEX(FILTER('Vân tay'!$A$5:$O270,'Vân tay'!$C$5:$C270=F124,'Vân tay'!$B$5:$B270=D124),1,11),"""")"),"")</f>
        <v/>
      </c>
      <c r="I124" s="138" t="str">
        <f>IFERROR(__xludf.DUMMYFUNCTION("IFERROR(INDEX(FILTER('Vân tay'!$A$5:$O270,'Vân tay'!$C$5:$C270=F124,'Vân tay'!$B$5:$B270=D124),1,14),"""")"),"")</f>
        <v/>
      </c>
      <c r="J124" s="138" t="str">
        <f>IFERROR(__xludf.DUMMYFUNCTION("IFERROR(INDEX(FILTER('Vân tay'!$A$5:$O270,'Vân tay'!$C$5:$C270=F124,'Vân tay'!$B$5:$B270=D124),1,15),"""")"),"")</f>
        <v/>
      </c>
      <c r="K124" s="196" t="str">
        <f t="shared" si="1"/>
        <v/>
      </c>
      <c r="L124" s="196" t="str">
        <f t="shared" si="2"/>
        <v/>
      </c>
      <c r="M124" s="197" t="str">
        <f t="shared" si="9"/>
        <v/>
      </c>
      <c r="N124" s="198" t="str">
        <f t="shared" si="3"/>
        <v/>
      </c>
      <c r="O124" s="198" t="str">
        <f t="shared" si="10"/>
        <v/>
      </c>
      <c r="P124" s="198"/>
      <c r="Q124" s="198">
        <f t="shared" si="4"/>
        <v>0</v>
      </c>
      <c r="R124" s="198">
        <f t="shared" si="5"/>
        <v>0</v>
      </c>
      <c r="S124" s="199">
        <f t="shared" si="6"/>
        <v>0</v>
      </c>
      <c r="T124" s="198">
        <f t="shared" si="7"/>
        <v>0</v>
      </c>
      <c r="U124" s="198"/>
      <c r="V124" s="198"/>
      <c r="W124" s="198">
        <f t="shared" si="8"/>
        <v>0</v>
      </c>
      <c r="X124" s="200"/>
    </row>
    <row r="125">
      <c r="A125" s="135"/>
      <c r="B125" s="135"/>
      <c r="C125" s="135"/>
      <c r="D125" s="195"/>
      <c r="E125" s="135" t="str">
        <f>IFERROR(VLOOKUP(C125,'Công T5'!$C$7:$F$89,4,0),"")</f>
        <v/>
      </c>
      <c r="F125" s="137" t="str">
        <f>IFERROR(__xludf.DUMMYFUNCTION("INDEX(FILTER('Công T5'!$B$8:$C$89,'Công T5'!$C$8:$C$89=C125),1,1)"),"")</f>
        <v/>
      </c>
      <c r="G125" s="138" t="str">
        <f>IFERROR(__xludf.DUMMYFUNCTION("IFERROR(INDEX(FILTER('Vân tay'!$A$5:$O270,'Vân tay'!$C$5:$C270=F125,'Vân tay'!$B$5:$B270=D125),1,10),"""")"),"")</f>
        <v/>
      </c>
      <c r="H125" s="138" t="str">
        <f>IFERROR(__xludf.DUMMYFUNCTION("IFERROR(INDEX(FILTER('Vân tay'!$A$5:$O270,'Vân tay'!$C$5:$C270=F125,'Vân tay'!$B$5:$B270=D125),1,11),"""")"),"")</f>
        <v/>
      </c>
      <c r="I125" s="138" t="str">
        <f>IFERROR(__xludf.DUMMYFUNCTION("IFERROR(INDEX(FILTER('Vân tay'!$A$5:$O270,'Vân tay'!$C$5:$C270=F125,'Vân tay'!$B$5:$B270=D125),1,14),"""")"),"")</f>
        <v/>
      </c>
      <c r="J125" s="138" t="str">
        <f>IFERROR(__xludf.DUMMYFUNCTION("IFERROR(INDEX(FILTER('Vân tay'!$A$5:$O270,'Vân tay'!$C$5:$C270=F125,'Vân tay'!$B$5:$B270=D125),1,15),"""")"),"")</f>
        <v/>
      </c>
      <c r="K125" s="196" t="str">
        <f t="shared" si="1"/>
        <v/>
      </c>
      <c r="L125" s="196" t="str">
        <f t="shared" si="2"/>
        <v/>
      </c>
      <c r="M125" s="197" t="str">
        <f t="shared" si="9"/>
        <v/>
      </c>
      <c r="N125" s="198" t="str">
        <f t="shared" si="3"/>
        <v/>
      </c>
      <c r="O125" s="198" t="str">
        <f t="shared" si="10"/>
        <v/>
      </c>
      <c r="P125" s="198"/>
      <c r="Q125" s="198">
        <f t="shared" si="4"/>
        <v>0</v>
      </c>
      <c r="R125" s="198">
        <f t="shared" si="5"/>
        <v>0</v>
      </c>
      <c r="S125" s="199">
        <f t="shared" si="6"/>
        <v>0</v>
      </c>
      <c r="T125" s="198">
        <f t="shared" si="7"/>
        <v>0</v>
      </c>
      <c r="U125" s="198"/>
      <c r="V125" s="198"/>
      <c r="W125" s="198">
        <f t="shared" si="8"/>
        <v>0</v>
      </c>
      <c r="X125" s="200"/>
    </row>
    <row r="126">
      <c r="A126" s="135"/>
      <c r="B126" s="135"/>
      <c r="C126" s="135"/>
      <c r="D126" s="195"/>
      <c r="E126" s="135" t="str">
        <f>IFERROR(VLOOKUP(C126,'Công T5'!$C$7:$F$89,4,0),"")</f>
        <v/>
      </c>
      <c r="F126" s="137" t="str">
        <f>IFERROR(__xludf.DUMMYFUNCTION("INDEX(FILTER('Công T5'!$B$8:$C$89,'Công T5'!$C$8:$C$89=C126),1,1)"),"")</f>
        <v/>
      </c>
      <c r="G126" s="138" t="str">
        <f>IFERROR(__xludf.DUMMYFUNCTION("IFERROR(INDEX(FILTER('Vân tay'!$A$5:$O270,'Vân tay'!$C$5:$C270=F126,'Vân tay'!$B$5:$B270=D126),1,10),"""")"),"")</f>
        <v/>
      </c>
      <c r="H126" s="138" t="str">
        <f>IFERROR(__xludf.DUMMYFUNCTION("IFERROR(INDEX(FILTER('Vân tay'!$A$5:$O270,'Vân tay'!$C$5:$C270=F126,'Vân tay'!$B$5:$B270=D126),1,11),"""")"),"")</f>
        <v/>
      </c>
      <c r="I126" s="138" t="str">
        <f>IFERROR(__xludf.DUMMYFUNCTION("IFERROR(INDEX(FILTER('Vân tay'!$A$5:$O270,'Vân tay'!$C$5:$C270=F126,'Vân tay'!$B$5:$B270=D126),1,14),"""")"),"")</f>
        <v/>
      </c>
      <c r="J126" s="138" t="str">
        <f>IFERROR(__xludf.DUMMYFUNCTION("IFERROR(INDEX(FILTER('Vân tay'!$A$5:$O270,'Vân tay'!$C$5:$C270=F126,'Vân tay'!$B$5:$B270=D126),1,15),"""")"),"")</f>
        <v/>
      </c>
      <c r="K126" s="196" t="str">
        <f t="shared" si="1"/>
        <v/>
      </c>
      <c r="L126" s="196" t="str">
        <f t="shared" si="2"/>
        <v/>
      </c>
      <c r="M126" s="197" t="str">
        <f t="shared" si="9"/>
        <v/>
      </c>
      <c r="N126" s="198" t="str">
        <f t="shared" si="3"/>
        <v/>
      </c>
      <c r="O126" s="198" t="str">
        <f t="shared" si="10"/>
        <v/>
      </c>
      <c r="P126" s="198"/>
      <c r="Q126" s="198">
        <f t="shared" si="4"/>
        <v>0</v>
      </c>
      <c r="R126" s="198">
        <f t="shared" si="5"/>
        <v>0</v>
      </c>
      <c r="S126" s="199">
        <f t="shared" si="6"/>
        <v>0</v>
      </c>
      <c r="T126" s="198">
        <f t="shared" si="7"/>
        <v>0</v>
      </c>
      <c r="U126" s="198"/>
      <c r="V126" s="198"/>
      <c r="W126" s="198">
        <f t="shared" si="8"/>
        <v>0</v>
      </c>
      <c r="X126" s="200"/>
    </row>
    <row r="127">
      <c r="A127" s="135"/>
      <c r="B127" s="135"/>
      <c r="C127" s="135"/>
      <c r="D127" s="195"/>
      <c r="E127" s="135" t="str">
        <f>IFERROR(VLOOKUP(C127,'Công T5'!$C$7:$F$89,4,0),"")</f>
        <v/>
      </c>
      <c r="F127" s="137" t="str">
        <f>IFERROR(__xludf.DUMMYFUNCTION("INDEX(FILTER('Công T5'!$B$8:$C$89,'Công T5'!$C$8:$C$89=C127),1,1)"),"")</f>
        <v/>
      </c>
      <c r="G127" s="138" t="str">
        <f>IFERROR(__xludf.DUMMYFUNCTION("IFERROR(INDEX(FILTER('Vân tay'!$A$5:$O270,'Vân tay'!$C$5:$C270=F127,'Vân tay'!$B$5:$B270=D127),1,10),"""")"),"")</f>
        <v/>
      </c>
      <c r="H127" s="138" t="str">
        <f>IFERROR(__xludf.DUMMYFUNCTION("IFERROR(INDEX(FILTER('Vân tay'!$A$5:$O270,'Vân tay'!$C$5:$C270=F127,'Vân tay'!$B$5:$B270=D127),1,11),"""")"),"")</f>
        <v/>
      </c>
      <c r="I127" s="138" t="str">
        <f>IFERROR(__xludf.DUMMYFUNCTION("IFERROR(INDEX(FILTER('Vân tay'!$A$5:$O270,'Vân tay'!$C$5:$C270=F127,'Vân tay'!$B$5:$B270=D127),1,14),"""")"),"")</f>
        <v/>
      </c>
      <c r="J127" s="138" t="str">
        <f>IFERROR(__xludf.DUMMYFUNCTION("IFERROR(INDEX(FILTER('Vân tay'!$A$5:$O270,'Vân tay'!$C$5:$C270=F127,'Vân tay'!$B$5:$B270=D127),1,15),"""")"),"")</f>
        <v/>
      </c>
      <c r="K127" s="196" t="str">
        <f t="shared" si="1"/>
        <v/>
      </c>
      <c r="L127" s="196" t="str">
        <f t="shared" si="2"/>
        <v/>
      </c>
      <c r="M127" s="197" t="str">
        <f t="shared" si="9"/>
        <v/>
      </c>
      <c r="N127" s="198" t="str">
        <f t="shared" si="3"/>
        <v/>
      </c>
      <c r="O127" s="198" t="str">
        <f t="shared" si="10"/>
        <v/>
      </c>
      <c r="P127" s="198"/>
      <c r="Q127" s="198">
        <f t="shared" si="4"/>
        <v>0</v>
      </c>
      <c r="R127" s="198">
        <f t="shared" si="5"/>
        <v>0</v>
      </c>
      <c r="S127" s="199">
        <f t="shared" si="6"/>
        <v>0</v>
      </c>
      <c r="T127" s="198">
        <f t="shared" si="7"/>
        <v>0</v>
      </c>
      <c r="U127" s="198"/>
      <c r="V127" s="198"/>
      <c r="W127" s="198">
        <f t="shared" si="8"/>
        <v>0</v>
      </c>
      <c r="X127" s="200"/>
    </row>
    <row r="128">
      <c r="A128" s="135"/>
      <c r="B128" s="135"/>
      <c r="C128" s="135"/>
      <c r="D128" s="195"/>
      <c r="E128" s="135" t="str">
        <f>IFERROR(VLOOKUP(C128,'Công T5'!$C$7:$F$89,4,0),"")</f>
        <v/>
      </c>
      <c r="F128" s="137" t="str">
        <f>IFERROR(__xludf.DUMMYFUNCTION("INDEX(FILTER('Công T5'!$B$8:$C$89,'Công T5'!$C$8:$C$89=C128),1,1)"),"")</f>
        <v/>
      </c>
      <c r="G128" s="138" t="str">
        <f>IFERROR(__xludf.DUMMYFUNCTION("IFERROR(INDEX(FILTER('Vân tay'!$A$5:$O270,'Vân tay'!$C$5:$C270=F128,'Vân tay'!$B$5:$B270=D128),1,10),"""")"),"")</f>
        <v/>
      </c>
      <c r="H128" s="138" t="str">
        <f>IFERROR(__xludf.DUMMYFUNCTION("IFERROR(INDEX(FILTER('Vân tay'!$A$5:$O270,'Vân tay'!$C$5:$C270=F128,'Vân tay'!$B$5:$B270=D128),1,11),"""")"),"")</f>
        <v/>
      </c>
      <c r="I128" s="138" t="str">
        <f>IFERROR(__xludf.DUMMYFUNCTION("IFERROR(INDEX(FILTER('Vân tay'!$A$5:$O270,'Vân tay'!$C$5:$C270=F128,'Vân tay'!$B$5:$B270=D128),1,14),"""")"),"")</f>
        <v/>
      </c>
      <c r="J128" s="138" t="str">
        <f>IFERROR(__xludf.DUMMYFUNCTION("IFERROR(INDEX(FILTER('Vân tay'!$A$5:$O270,'Vân tay'!$C$5:$C270=F128,'Vân tay'!$B$5:$B270=D128),1,15),"""")"),"")</f>
        <v/>
      </c>
      <c r="K128" s="196" t="str">
        <f t="shared" si="1"/>
        <v/>
      </c>
      <c r="L128" s="196" t="str">
        <f t="shared" si="2"/>
        <v/>
      </c>
      <c r="M128" s="197" t="str">
        <f t="shared" si="9"/>
        <v/>
      </c>
      <c r="N128" s="198" t="str">
        <f t="shared" si="3"/>
        <v/>
      </c>
      <c r="O128" s="198" t="str">
        <f t="shared" si="10"/>
        <v/>
      </c>
      <c r="P128" s="198"/>
      <c r="Q128" s="198">
        <f t="shared" si="4"/>
        <v>0</v>
      </c>
      <c r="R128" s="198">
        <f t="shared" si="5"/>
        <v>0</v>
      </c>
      <c r="S128" s="199">
        <f t="shared" si="6"/>
        <v>0</v>
      </c>
      <c r="T128" s="198">
        <f t="shared" si="7"/>
        <v>0</v>
      </c>
      <c r="U128" s="198"/>
      <c r="V128" s="198"/>
      <c r="W128" s="198">
        <f t="shared" si="8"/>
        <v>0</v>
      </c>
      <c r="X128" s="200"/>
    </row>
    <row r="129">
      <c r="A129" s="135"/>
      <c r="B129" s="135"/>
      <c r="C129" s="135"/>
      <c r="D129" s="195"/>
      <c r="E129" s="135" t="str">
        <f>IFERROR(VLOOKUP(C129,'Công T5'!$C$7:$F$89,4,0),"")</f>
        <v/>
      </c>
      <c r="F129" s="137" t="str">
        <f>IFERROR(__xludf.DUMMYFUNCTION("INDEX(FILTER('Công T5'!$B$8:$C$89,'Công T5'!$C$8:$C$89=C129),1,1)"),"")</f>
        <v/>
      </c>
      <c r="G129" s="138" t="str">
        <f>IFERROR(__xludf.DUMMYFUNCTION("IFERROR(INDEX(FILTER('Vân tay'!$A$5:$O270,'Vân tay'!$C$5:$C270=F129,'Vân tay'!$B$5:$B270=D129),1,10),"""")"),"")</f>
        <v/>
      </c>
      <c r="H129" s="138" t="str">
        <f>IFERROR(__xludf.DUMMYFUNCTION("IFERROR(INDEX(FILTER('Vân tay'!$A$5:$O270,'Vân tay'!$C$5:$C270=F129,'Vân tay'!$B$5:$B270=D129),1,11),"""")"),"")</f>
        <v/>
      </c>
      <c r="I129" s="138" t="str">
        <f>IFERROR(__xludf.DUMMYFUNCTION("IFERROR(INDEX(FILTER('Vân tay'!$A$5:$O270,'Vân tay'!$C$5:$C270=F129,'Vân tay'!$B$5:$B270=D129),1,14),"""")"),"")</f>
        <v/>
      </c>
      <c r="J129" s="138" t="str">
        <f>IFERROR(__xludf.DUMMYFUNCTION("IFERROR(INDEX(FILTER('Vân tay'!$A$5:$O270,'Vân tay'!$C$5:$C270=F129,'Vân tay'!$B$5:$B270=D129),1,15),"""")"),"")</f>
        <v/>
      </c>
      <c r="K129" s="196" t="str">
        <f t="shared" si="1"/>
        <v/>
      </c>
      <c r="L129" s="196" t="str">
        <f t="shared" si="2"/>
        <v/>
      </c>
      <c r="M129" s="197" t="str">
        <f t="shared" si="9"/>
        <v/>
      </c>
      <c r="N129" s="198" t="str">
        <f t="shared" si="3"/>
        <v/>
      </c>
      <c r="O129" s="198" t="str">
        <f t="shared" si="10"/>
        <v/>
      </c>
      <c r="P129" s="198"/>
      <c r="Q129" s="198">
        <f t="shared" si="4"/>
        <v>0</v>
      </c>
      <c r="R129" s="198">
        <f t="shared" si="5"/>
        <v>0</v>
      </c>
      <c r="S129" s="199">
        <f t="shared" si="6"/>
        <v>0</v>
      </c>
      <c r="T129" s="198">
        <f t="shared" si="7"/>
        <v>0</v>
      </c>
      <c r="U129" s="198"/>
      <c r="V129" s="198"/>
      <c r="W129" s="198">
        <f t="shared" si="8"/>
        <v>0</v>
      </c>
      <c r="X129" s="200"/>
    </row>
    <row r="130">
      <c r="A130" s="135"/>
      <c r="B130" s="135"/>
      <c r="C130" s="135"/>
      <c r="D130" s="195"/>
      <c r="E130" s="135" t="str">
        <f>IFERROR(VLOOKUP(C130,'Công T5'!$C$7:$F$89,4,0),"")</f>
        <v/>
      </c>
      <c r="F130" s="137" t="str">
        <f>IFERROR(__xludf.DUMMYFUNCTION("INDEX(FILTER('Công T5'!$B$8:$C$89,'Công T5'!$C$8:$C$89=C130),1,1)"),"")</f>
        <v/>
      </c>
      <c r="G130" s="138" t="str">
        <f>IFERROR(__xludf.DUMMYFUNCTION("IFERROR(INDEX(FILTER('Vân tay'!$A$5:$O270,'Vân tay'!$C$5:$C270=F130,'Vân tay'!$B$5:$B270=D130),1,10),"""")"),"")</f>
        <v/>
      </c>
      <c r="H130" s="138" t="str">
        <f>IFERROR(__xludf.DUMMYFUNCTION("IFERROR(INDEX(FILTER('Vân tay'!$A$5:$O270,'Vân tay'!$C$5:$C270=F130,'Vân tay'!$B$5:$B270=D130),1,11),"""")"),"")</f>
        <v/>
      </c>
      <c r="I130" s="138" t="str">
        <f>IFERROR(__xludf.DUMMYFUNCTION("IFERROR(INDEX(FILTER('Vân tay'!$A$5:$O270,'Vân tay'!$C$5:$C270=F130,'Vân tay'!$B$5:$B270=D130),1,14),"""")"),"")</f>
        <v/>
      </c>
      <c r="J130" s="138" t="str">
        <f>IFERROR(__xludf.DUMMYFUNCTION("IFERROR(INDEX(FILTER('Vân tay'!$A$5:$O270,'Vân tay'!$C$5:$C270=F130,'Vân tay'!$B$5:$B270=D130),1,15),"""")"),"")</f>
        <v/>
      </c>
      <c r="K130" s="196" t="str">
        <f t="shared" si="1"/>
        <v/>
      </c>
      <c r="L130" s="196" t="str">
        <f t="shared" si="2"/>
        <v/>
      </c>
      <c r="M130" s="197" t="str">
        <f t="shared" si="9"/>
        <v/>
      </c>
      <c r="N130" s="198" t="str">
        <f t="shared" si="3"/>
        <v/>
      </c>
      <c r="O130" s="198" t="str">
        <f t="shared" si="10"/>
        <v/>
      </c>
      <c r="P130" s="198"/>
      <c r="Q130" s="198">
        <f t="shared" si="4"/>
        <v>0</v>
      </c>
      <c r="R130" s="198">
        <f t="shared" si="5"/>
        <v>0</v>
      </c>
      <c r="S130" s="199">
        <f t="shared" si="6"/>
        <v>0</v>
      </c>
      <c r="T130" s="198">
        <f t="shared" si="7"/>
        <v>0</v>
      </c>
      <c r="U130" s="198"/>
      <c r="V130" s="198"/>
      <c r="W130" s="198">
        <f t="shared" si="8"/>
        <v>0</v>
      </c>
      <c r="X130" s="200"/>
    </row>
    <row r="131">
      <c r="A131" s="135"/>
      <c r="B131" s="135"/>
      <c r="C131" s="135"/>
      <c r="D131" s="195"/>
      <c r="E131" s="135" t="str">
        <f>IFERROR(VLOOKUP(C131,'Công T5'!$C$7:$F$89,4,0),"")</f>
        <v/>
      </c>
      <c r="F131" s="137" t="str">
        <f>IFERROR(__xludf.DUMMYFUNCTION("INDEX(FILTER('Công T5'!$B$8:$C$89,'Công T5'!$C$8:$C$89=C131),1,1)"),"")</f>
        <v/>
      </c>
      <c r="G131" s="138" t="str">
        <f>IFERROR(__xludf.DUMMYFUNCTION("IFERROR(INDEX(FILTER('Vân tay'!$A$5:$O270,'Vân tay'!$C$5:$C270=F131,'Vân tay'!$B$5:$B270=D131),1,10),"""")"),"")</f>
        <v/>
      </c>
      <c r="H131" s="138" t="str">
        <f>IFERROR(__xludf.DUMMYFUNCTION("IFERROR(INDEX(FILTER('Vân tay'!$A$5:$O270,'Vân tay'!$C$5:$C270=F131,'Vân tay'!$B$5:$B270=D131),1,11),"""")"),"")</f>
        <v/>
      </c>
      <c r="I131" s="138" t="str">
        <f>IFERROR(__xludf.DUMMYFUNCTION("IFERROR(INDEX(FILTER('Vân tay'!$A$5:$O270,'Vân tay'!$C$5:$C270=F131,'Vân tay'!$B$5:$B270=D131),1,14),"""")"),"")</f>
        <v/>
      </c>
      <c r="J131" s="138" t="str">
        <f>IFERROR(__xludf.DUMMYFUNCTION("IFERROR(INDEX(FILTER('Vân tay'!$A$5:$O270,'Vân tay'!$C$5:$C270=F131,'Vân tay'!$B$5:$B270=D131),1,15),"""")"),"")</f>
        <v/>
      </c>
      <c r="K131" s="196" t="str">
        <f t="shared" si="1"/>
        <v/>
      </c>
      <c r="L131" s="196" t="str">
        <f t="shared" si="2"/>
        <v/>
      </c>
      <c r="M131" s="197" t="str">
        <f t="shared" si="9"/>
        <v/>
      </c>
      <c r="N131" s="198" t="str">
        <f t="shared" si="3"/>
        <v/>
      </c>
      <c r="O131" s="198" t="str">
        <f t="shared" si="10"/>
        <v/>
      </c>
      <c r="P131" s="198"/>
      <c r="Q131" s="198">
        <f t="shared" si="4"/>
        <v>0</v>
      </c>
      <c r="R131" s="198">
        <f t="shared" si="5"/>
        <v>0</v>
      </c>
      <c r="S131" s="199">
        <f t="shared" si="6"/>
        <v>0</v>
      </c>
      <c r="T131" s="198">
        <f t="shared" si="7"/>
        <v>0</v>
      </c>
      <c r="U131" s="198"/>
      <c r="V131" s="198"/>
      <c r="W131" s="198">
        <f t="shared" si="8"/>
        <v>0</v>
      </c>
      <c r="X131" s="200"/>
    </row>
    <row r="132">
      <c r="A132" s="135"/>
      <c r="B132" s="135"/>
      <c r="C132" s="135"/>
      <c r="D132" s="195"/>
      <c r="E132" s="135" t="str">
        <f>IFERROR(VLOOKUP(C132,'Công T5'!$C$7:$F$89,4,0),"")</f>
        <v/>
      </c>
      <c r="F132" s="137" t="str">
        <f>IFERROR(__xludf.DUMMYFUNCTION("INDEX(FILTER('Công T5'!$B$8:$C$89,'Công T5'!$C$8:$C$89=C132),1,1)"),"")</f>
        <v/>
      </c>
      <c r="G132" s="138" t="str">
        <f>IFERROR(__xludf.DUMMYFUNCTION("IFERROR(INDEX(FILTER('Vân tay'!$A$5:$O270,'Vân tay'!$C$5:$C270=F132,'Vân tay'!$B$5:$B270=D132),1,10),"""")"),"")</f>
        <v/>
      </c>
      <c r="H132" s="138" t="str">
        <f>IFERROR(__xludf.DUMMYFUNCTION("IFERROR(INDEX(FILTER('Vân tay'!$A$5:$O270,'Vân tay'!$C$5:$C270=F132,'Vân tay'!$B$5:$B270=D132),1,11),"""")"),"")</f>
        <v/>
      </c>
      <c r="I132" s="138" t="str">
        <f>IFERROR(__xludf.DUMMYFUNCTION("IFERROR(INDEX(FILTER('Vân tay'!$A$5:$O270,'Vân tay'!$C$5:$C270=F132,'Vân tay'!$B$5:$B270=D132),1,14),"""")"),"")</f>
        <v/>
      </c>
      <c r="J132" s="138" t="str">
        <f>IFERROR(__xludf.DUMMYFUNCTION("IFERROR(INDEX(FILTER('Vân tay'!$A$5:$O270,'Vân tay'!$C$5:$C270=F132,'Vân tay'!$B$5:$B270=D132),1,15),"""")"),"")</f>
        <v/>
      </c>
      <c r="K132" s="196" t="str">
        <f t="shared" si="1"/>
        <v/>
      </c>
      <c r="L132" s="196" t="str">
        <f t="shared" si="2"/>
        <v/>
      </c>
      <c r="M132" s="197" t="str">
        <f t="shared" si="9"/>
        <v/>
      </c>
      <c r="N132" s="198" t="str">
        <f t="shared" si="3"/>
        <v/>
      </c>
      <c r="O132" s="198" t="str">
        <f t="shared" si="10"/>
        <v/>
      </c>
      <c r="P132" s="198"/>
      <c r="Q132" s="198">
        <f t="shared" si="4"/>
        <v>0</v>
      </c>
      <c r="R132" s="198">
        <f t="shared" si="5"/>
        <v>0</v>
      </c>
      <c r="S132" s="199">
        <f t="shared" si="6"/>
        <v>0</v>
      </c>
      <c r="T132" s="198">
        <f t="shared" si="7"/>
        <v>0</v>
      </c>
      <c r="U132" s="198"/>
      <c r="V132" s="198"/>
      <c r="W132" s="198">
        <f t="shared" si="8"/>
        <v>0</v>
      </c>
      <c r="X132" s="200"/>
    </row>
    <row r="133">
      <c r="A133" s="135"/>
      <c r="B133" s="135"/>
      <c r="C133" s="135"/>
      <c r="D133" s="195"/>
      <c r="E133" s="135" t="str">
        <f>IFERROR(VLOOKUP(C133,'Công T5'!$C$7:$F$89,4,0),"")</f>
        <v/>
      </c>
      <c r="F133" s="137" t="str">
        <f>IFERROR(__xludf.DUMMYFUNCTION("INDEX(FILTER('Công T5'!$B$8:$C$89,'Công T5'!$C$8:$C$89=C133),1,1)"),"")</f>
        <v/>
      </c>
      <c r="G133" s="138" t="str">
        <f>IFERROR(__xludf.DUMMYFUNCTION("IFERROR(INDEX(FILTER('Vân tay'!$A$5:$O270,'Vân tay'!$C$5:$C270=F133,'Vân tay'!$B$5:$B270=D133),1,10),"""")"),"")</f>
        <v/>
      </c>
      <c r="H133" s="138" t="str">
        <f>IFERROR(__xludf.DUMMYFUNCTION("IFERROR(INDEX(FILTER('Vân tay'!$A$5:$O270,'Vân tay'!$C$5:$C270=F133,'Vân tay'!$B$5:$B270=D133),1,11),"""")"),"")</f>
        <v/>
      </c>
      <c r="I133" s="138" t="str">
        <f>IFERROR(__xludf.DUMMYFUNCTION("IFERROR(INDEX(FILTER('Vân tay'!$A$5:$O270,'Vân tay'!$C$5:$C270=F133,'Vân tay'!$B$5:$B270=D133),1,14),"""")"),"")</f>
        <v/>
      </c>
      <c r="J133" s="138" t="str">
        <f>IFERROR(__xludf.DUMMYFUNCTION("IFERROR(INDEX(FILTER('Vân tay'!$A$5:$O270,'Vân tay'!$C$5:$C270=F133,'Vân tay'!$B$5:$B270=D133),1,15),"""")"),"")</f>
        <v/>
      </c>
      <c r="K133" s="196" t="str">
        <f t="shared" si="1"/>
        <v/>
      </c>
      <c r="L133" s="196" t="str">
        <f t="shared" si="2"/>
        <v/>
      </c>
      <c r="M133" s="197" t="str">
        <f t="shared" si="9"/>
        <v/>
      </c>
      <c r="N133" s="198" t="str">
        <f t="shared" si="3"/>
        <v/>
      </c>
      <c r="O133" s="198" t="str">
        <f t="shared" si="10"/>
        <v/>
      </c>
      <c r="P133" s="198"/>
      <c r="Q133" s="198">
        <f t="shared" si="4"/>
        <v>0</v>
      </c>
      <c r="R133" s="198">
        <f t="shared" si="5"/>
        <v>0</v>
      </c>
      <c r="S133" s="199">
        <f t="shared" si="6"/>
        <v>0</v>
      </c>
      <c r="T133" s="198">
        <f t="shared" si="7"/>
        <v>0</v>
      </c>
      <c r="U133" s="198"/>
      <c r="V133" s="198"/>
      <c r="W133" s="198">
        <f t="shared" si="8"/>
        <v>0</v>
      </c>
      <c r="X133" s="200"/>
    </row>
    <row r="134">
      <c r="A134" s="135"/>
      <c r="B134" s="135"/>
      <c r="C134" s="195"/>
      <c r="D134" s="195"/>
      <c r="E134" s="135" t="str">
        <f>IFERROR(VLOOKUP(C134,'Công T5'!$C$7:$F$89,4,0),"")</f>
        <v/>
      </c>
      <c r="F134" s="137" t="str">
        <f>IFERROR(__xludf.DUMMYFUNCTION("INDEX(FILTER('Công T5'!$B$8:$C$89,'Công T5'!$C$8:$C$89=C134),1,1)"),"")</f>
        <v/>
      </c>
      <c r="G134" s="138" t="str">
        <f>IFERROR(__xludf.DUMMYFUNCTION("IFERROR(INDEX(FILTER('Vân tay'!$A$5:$O270,'Vân tay'!$C$5:$C270=F134,'Vân tay'!$B$5:$B270=D134),1,10),"""")"),"")</f>
        <v/>
      </c>
      <c r="H134" s="138" t="str">
        <f>IFERROR(__xludf.DUMMYFUNCTION("IFERROR(INDEX(FILTER('Vân tay'!$A$5:$O270,'Vân tay'!$C$5:$C270=F134,'Vân tay'!$B$5:$B270=D134),1,11),"""")"),"")</f>
        <v/>
      </c>
      <c r="I134" s="138" t="str">
        <f>IFERROR(__xludf.DUMMYFUNCTION("IFERROR(INDEX(FILTER('Vân tay'!$A$5:$O270,'Vân tay'!$C$5:$C270=F134,'Vân tay'!$B$5:$B270=D134),1,14),"""")"),"")</f>
        <v/>
      </c>
      <c r="J134" s="138" t="str">
        <f>IFERROR(__xludf.DUMMYFUNCTION("IFERROR(INDEX(FILTER('Vân tay'!$A$5:$O270,'Vân tay'!$C$5:$C270=F134,'Vân tay'!$B$5:$B270=D134),1,15),"""")"),"")</f>
        <v/>
      </c>
      <c r="K134" s="196" t="str">
        <f t="shared" si="1"/>
        <v/>
      </c>
      <c r="L134" s="196" t="str">
        <f t="shared" si="2"/>
        <v/>
      </c>
      <c r="M134" s="197" t="str">
        <f t="shared" si="9"/>
        <v/>
      </c>
      <c r="N134" s="198" t="str">
        <f t="shared" si="3"/>
        <v/>
      </c>
      <c r="O134" s="198" t="str">
        <f t="shared" si="10"/>
        <v/>
      </c>
      <c r="P134" s="198"/>
      <c r="Q134" s="198">
        <f t="shared" si="4"/>
        <v>0</v>
      </c>
      <c r="R134" s="198">
        <f t="shared" si="5"/>
        <v>0</v>
      </c>
      <c r="S134" s="199">
        <f t="shared" si="6"/>
        <v>0</v>
      </c>
      <c r="T134" s="198">
        <f t="shared" si="7"/>
        <v>0</v>
      </c>
      <c r="U134" s="198"/>
      <c r="V134" s="198"/>
      <c r="W134" s="198">
        <f t="shared" si="8"/>
        <v>0</v>
      </c>
      <c r="X134" s="200"/>
    </row>
    <row r="135">
      <c r="A135" s="135"/>
      <c r="B135" s="135"/>
      <c r="C135" s="135"/>
      <c r="D135" s="195"/>
      <c r="E135" s="135" t="str">
        <f>IFERROR(VLOOKUP(C135,'Công T5'!$C$7:$F$89,4,0),"")</f>
        <v/>
      </c>
      <c r="F135" s="137" t="str">
        <f>IFERROR(__xludf.DUMMYFUNCTION("INDEX(FILTER('Công T5'!$B$8:$C$89,'Công T5'!$C$8:$C$89=C135),1,1)"),"")</f>
        <v/>
      </c>
      <c r="G135" s="138" t="str">
        <f>IFERROR(__xludf.DUMMYFUNCTION("IFERROR(INDEX(FILTER('Vân tay'!$A$5:$O270,'Vân tay'!$C$5:$C270=F135,'Vân tay'!$B$5:$B270=D135),1,10),"""")"),"")</f>
        <v/>
      </c>
      <c r="H135" s="138" t="str">
        <f>IFERROR(__xludf.DUMMYFUNCTION("IFERROR(INDEX(FILTER('Vân tay'!$A$5:$O270,'Vân tay'!$C$5:$C270=F135,'Vân tay'!$B$5:$B270=D135),1,11),"""")"),"")</f>
        <v/>
      </c>
      <c r="I135" s="138" t="str">
        <f>IFERROR(__xludf.DUMMYFUNCTION("IFERROR(INDEX(FILTER('Vân tay'!$A$5:$O270,'Vân tay'!$C$5:$C270=F135,'Vân tay'!$B$5:$B270=D135),1,14),"""")"),"")</f>
        <v/>
      </c>
      <c r="J135" s="138" t="str">
        <f>IFERROR(__xludf.DUMMYFUNCTION("IFERROR(INDEX(FILTER('Vân tay'!$A$5:$O270,'Vân tay'!$C$5:$C270=F135,'Vân tay'!$B$5:$B270=D135),1,15),"""")"),"")</f>
        <v/>
      </c>
      <c r="K135" s="196" t="str">
        <f t="shared" si="1"/>
        <v/>
      </c>
      <c r="L135" s="196" t="str">
        <f t="shared" si="2"/>
        <v/>
      </c>
      <c r="M135" s="197" t="str">
        <f t="shared" si="9"/>
        <v/>
      </c>
      <c r="N135" s="198" t="str">
        <f t="shared" si="3"/>
        <v/>
      </c>
      <c r="O135" s="198" t="str">
        <f t="shared" si="10"/>
        <v/>
      </c>
      <c r="P135" s="198"/>
      <c r="Q135" s="198">
        <f t="shared" si="4"/>
        <v>0</v>
      </c>
      <c r="R135" s="198">
        <f t="shared" si="5"/>
        <v>0</v>
      </c>
      <c r="S135" s="199">
        <f t="shared" si="6"/>
        <v>0</v>
      </c>
      <c r="T135" s="198">
        <f t="shared" si="7"/>
        <v>0</v>
      </c>
      <c r="U135" s="198"/>
      <c r="V135" s="198"/>
      <c r="W135" s="198">
        <f t="shared" si="8"/>
        <v>0</v>
      </c>
      <c r="X135" s="200"/>
    </row>
    <row r="136">
      <c r="A136" s="135"/>
      <c r="B136" s="135"/>
      <c r="C136" s="135"/>
      <c r="D136" s="195"/>
      <c r="E136" s="135" t="str">
        <f>IFERROR(VLOOKUP(C136,'Công T5'!$C$7:$F$89,4,0),"")</f>
        <v/>
      </c>
      <c r="F136" s="137" t="str">
        <f>IFERROR(__xludf.DUMMYFUNCTION("INDEX(FILTER('Công T5'!$B$8:$C$89,'Công T5'!$C$8:$C$89=C136),1,1)"),"")</f>
        <v/>
      </c>
      <c r="G136" s="138" t="str">
        <f>IFERROR(__xludf.DUMMYFUNCTION("IFERROR(INDEX(FILTER('Vân tay'!$A$5:$O270,'Vân tay'!$C$5:$C270=F136,'Vân tay'!$B$5:$B270=D136),1,10),"""")"),"")</f>
        <v/>
      </c>
      <c r="H136" s="138" t="str">
        <f>IFERROR(__xludf.DUMMYFUNCTION("IFERROR(INDEX(FILTER('Vân tay'!$A$5:$O270,'Vân tay'!$C$5:$C270=F136,'Vân tay'!$B$5:$B270=D136),1,11),"""")"),"")</f>
        <v/>
      </c>
      <c r="I136" s="138" t="str">
        <f>IFERROR(__xludf.DUMMYFUNCTION("IFERROR(INDEX(FILTER('Vân tay'!$A$5:$O270,'Vân tay'!$C$5:$C270=F136,'Vân tay'!$B$5:$B270=D136),1,14),"""")"),"")</f>
        <v/>
      </c>
      <c r="J136" s="138" t="str">
        <f>IFERROR(__xludf.DUMMYFUNCTION("IFERROR(INDEX(FILTER('Vân tay'!$A$5:$O270,'Vân tay'!$C$5:$C270=F136,'Vân tay'!$B$5:$B270=D136),1,15),"""")"),"")</f>
        <v/>
      </c>
      <c r="K136" s="196" t="str">
        <f t="shared" si="1"/>
        <v/>
      </c>
      <c r="L136" s="196" t="str">
        <f t="shared" si="2"/>
        <v/>
      </c>
      <c r="M136" s="197" t="str">
        <f t="shared" si="9"/>
        <v/>
      </c>
      <c r="N136" s="198" t="str">
        <f t="shared" si="3"/>
        <v/>
      </c>
      <c r="O136" s="198" t="str">
        <f t="shared" si="10"/>
        <v/>
      </c>
      <c r="P136" s="198"/>
      <c r="Q136" s="198">
        <f t="shared" si="4"/>
        <v>0</v>
      </c>
      <c r="R136" s="198">
        <f t="shared" si="5"/>
        <v>0</v>
      </c>
      <c r="S136" s="199">
        <f t="shared" si="6"/>
        <v>0</v>
      </c>
      <c r="T136" s="198">
        <f t="shared" si="7"/>
        <v>0</v>
      </c>
      <c r="U136" s="198"/>
      <c r="V136" s="198"/>
      <c r="W136" s="198">
        <f t="shared" si="8"/>
        <v>0</v>
      </c>
      <c r="X136" s="200"/>
    </row>
    <row r="137">
      <c r="A137" s="135"/>
      <c r="B137" s="135"/>
      <c r="C137" s="135"/>
      <c r="D137" s="195"/>
      <c r="E137" s="135" t="str">
        <f>IFERROR(VLOOKUP(C137,'Công T5'!$C$7:$F$89,4,0),"")</f>
        <v/>
      </c>
      <c r="F137" s="137" t="str">
        <f>IFERROR(__xludf.DUMMYFUNCTION("INDEX(FILTER('Công T5'!$B$8:$C$89,'Công T5'!$C$8:$C$89=C137),1,1)"),"")</f>
        <v/>
      </c>
      <c r="G137" s="138" t="str">
        <f>IFERROR(__xludf.DUMMYFUNCTION("IFERROR(INDEX(FILTER('Vân tay'!$A$5:$O270,'Vân tay'!$C$5:$C270=F137,'Vân tay'!$B$5:$B270=D137),1,10),"""")"),"")</f>
        <v/>
      </c>
      <c r="H137" s="138" t="str">
        <f>IFERROR(__xludf.DUMMYFUNCTION("IFERROR(INDEX(FILTER('Vân tay'!$A$5:$O270,'Vân tay'!$C$5:$C270=F137,'Vân tay'!$B$5:$B270=D137),1,11),"""")"),"")</f>
        <v/>
      </c>
      <c r="I137" s="138" t="str">
        <f>IFERROR(__xludf.DUMMYFUNCTION("IFERROR(INDEX(FILTER('Vân tay'!$A$5:$O270,'Vân tay'!$C$5:$C270=F137,'Vân tay'!$B$5:$B270=D137),1,14),"""")"),"")</f>
        <v/>
      </c>
      <c r="J137" s="138" t="str">
        <f>IFERROR(__xludf.DUMMYFUNCTION("IFERROR(INDEX(FILTER('Vân tay'!$A$5:$O270,'Vân tay'!$C$5:$C270=F137,'Vân tay'!$B$5:$B270=D137),1,15),"""")"),"")</f>
        <v/>
      </c>
      <c r="K137" s="196" t="str">
        <f t="shared" si="1"/>
        <v/>
      </c>
      <c r="L137" s="196" t="str">
        <f t="shared" si="2"/>
        <v/>
      </c>
      <c r="M137" s="197" t="str">
        <f t="shared" si="9"/>
        <v/>
      </c>
      <c r="N137" s="198" t="str">
        <f t="shared" si="3"/>
        <v/>
      </c>
      <c r="O137" s="198" t="str">
        <f t="shared" si="10"/>
        <v/>
      </c>
      <c r="P137" s="198"/>
      <c r="Q137" s="198">
        <f t="shared" si="4"/>
        <v>0</v>
      </c>
      <c r="R137" s="198">
        <f t="shared" si="5"/>
        <v>0</v>
      </c>
      <c r="S137" s="199">
        <f t="shared" si="6"/>
        <v>0</v>
      </c>
      <c r="T137" s="198">
        <f t="shared" si="7"/>
        <v>0</v>
      </c>
      <c r="U137" s="198"/>
      <c r="V137" s="198"/>
      <c r="W137" s="198">
        <f t="shared" si="8"/>
        <v>0</v>
      </c>
      <c r="X137" s="200"/>
    </row>
    <row r="138">
      <c r="A138" s="135"/>
      <c r="B138" s="135"/>
      <c r="C138" s="135"/>
      <c r="D138" s="195"/>
      <c r="E138" s="135" t="str">
        <f>IFERROR(VLOOKUP(C138,'Công T5'!$C$7:$F$89,4,0),"")</f>
        <v/>
      </c>
      <c r="F138" s="137" t="str">
        <f>IFERROR(__xludf.DUMMYFUNCTION("INDEX(FILTER('Công T5'!$B$8:$C$89,'Công T5'!$C$8:$C$89=C138),1,1)"),"")</f>
        <v/>
      </c>
      <c r="G138" s="138" t="str">
        <f>IFERROR(__xludf.DUMMYFUNCTION("IFERROR(INDEX(FILTER('Vân tay'!$A$5:$O270,'Vân tay'!$C$5:$C270=F138,'Vân tay'!$B$5:$B270=D138),1,10),"""")"),"")</f>
        <v/>
      </c>
      <c r="H138" s="138" t="str">
        <f>IFERROR(__xludf.DUMMYFUNCTION("IFERROR(INDEX(FILTER('Vân tay'!$A$5:$O270,'Vân tay'!$C$5:$C270=F138,'Vân tay'!$B$5:$B270=D138),1,11),"""")"),"")</f>
        <v/>
      </c>
      <c r="I138" s="138" t="str">
        <f>IFERROR(__xludf.DUMMYFUNCTION("IFERROR(INDEX(FILTER('Vân tay'!$A$5:$O270,'Vân tay'!$C$5:$C270=F138,'Vân tay'!$B$5:$B270=D138),1,14),"""")"),"")</f>
        <v/>
      </c>
      <c r="J138" s="138" t="str">
        <f>IFERROR(__xludf.DUMMYFUNCTION("IFERROR(INDEX(FILTER('Vân tay'!$A$5:$O270,'Vân tay'!$C$5:$C270=F138,'Vân tay'!$B$5:$B270=D138),1,15),"""")"),"")</f>
        <v/>
      </c>
      <c r="K138" s="196" t="str">
        <f t="shared" si="1"/>
        <v/>
      </c>
      <c r="L138" s="196" t="str">
        <f t="shared" si="2"/>
        <v/>
      </c>
      <c r="M138" s="197" t="str">
        <f t="shared" si="9"/>
        <v/>
      </c>
      <c r="N138" s="198" t="str">
        <f t="shared" si="3"/>
        <v/>
      </c>
      <c r="O138" s="198" t="str">
        <f t="shared" si="10"/>
        <v/>
      </c>
      <c r="P138" s="198"/>
      <c r="Q138" s="198">
        <f t="shared" si="4"/>
        <v>0</v>
      </c>
      <c r="R138" s="198">
        <f t="shared" si="5"/>
        <v>0</v>
      </c>
      <c r="S138" s="199">
        <f t="shared" si="6"/>
        <v>0</v>
      </c>
      <c r="T138" s="198">
        <f t="shared" si="7"/>
        <v>0</v>
      </c>
      <c r="U138" s="198"/>
      <c r="V138" s="198"/>
      <c r="W138" s="198">
        <f t="shared" si="8"/>
        <v>0</v>
      </c>
      <c r="X138" s="200"/>
    </row>
    <row r="139">
      <c r="A139" s="135"/>
      <c r="B139" s="135"/>
      <c r="C139" s="135"/>
      <c r="D139" s="195"/>
      <c r="E139" s="135" t="str">
        <f>IFERROR(VLOOKUP(C139,'Công T5'!$C$7:$F$89,4,0),"")</f>
        <v/>
      </c>
      <c r="F139" s="137" t="str">
        <f>IFERROR(__xludf.DUMMYFUNCTION("INDEX(FILTER('Công T5'!$B$8:$C$89,'Công T5'!$C$8:$C$89=C139),1,1)"),"")</f>
        <v/>
      </c>
      <c r="G139" s="138" t="str">
        <f>IFERROR(__xludf.DUMMYFUNCTION("IFERROR(INDEX(FILTER('Vân tay'!$A$5:$O270,'Vân tay'!$C$5:$C270=F139,'Vân tay'!$B$5:$B270=D139),1,10),"""")"),"")</f>
        <v/>
      </c>
      <c r="H139" s="138" t="str">
        <f>IFERROR(__xludf.DUMMYFUNCTION("IFERROR(INDEX(FILTER('Vân tay'!$A$5:$O270,'Vân tay'!$C$5:$C270=F139,'Vân tay'!$B$5:$B270=D139),1,11),"""")"),"")</f>
        <v/>
      </c>
      <c r="I139" s="138" t="str">
        <f>IFERROR(__xludf.DUMMYFUNCTION("IFERROR(INDEX(FILTER('Vân tay'!$A$5:$O270,'Vân tay'!$C$5:$C270=F139,'Vân tay'!$B$5:$B270=D139),1,14),"""")"),"")</f>
        <v/>
      </c>
      <c r="J139" s="138" t="str">
        <f>IFERROR(__xludf.DUMMYFUNCTION("IFERROR(INDEX(FILTER('Vân tay'!$A$5:$O270,'Vân tay'!$C$5:$C270=F139,'Vân tay'!$B$5:$B270=D139),1,15),"""")"),"")</f>
        <v/>
      </c>
      <c r="K139" s="196" t="str">
        <f t="shared" si="1"/>
        <v/>
      </c>
      <c r="L139" s="196" t="str">
        <f t="shared" si="2"/>
        <v/>
      </c>
      <c r="M139" s="197" t="str">
        <f t="shared" si="9"/>
        <v/>
      </c>
      <c r="N139" s="198" t="str">
        <f t="shared" si="3"/>
        <v/>
      </c>
      <c r="O139" s="198" t="str">
        <f t="shared" si="10"/>
        <v/>
      </c>
      <c r="P139" s="198"/>
      <c r="Q139" s="198">
        <f t="shared" si="4"/>
        <v>0</v>
      </c>
      <c r="R139" s="198">
        <f t="shared" si="5"/>
        <v>0</v>
      </c>
      <c r="S139" s="199">
        <f t="shared" si="6"/>
        <v>0</v>
      </c>
      <c r="T139" s="198">
        <f t="shared" si="7"/>
        <v>0</v>
      </c>
      <c r="U139" s="198"/>
      <c r="V139" s="198"/>
      <c r="W139" s="198">
        <f t="shared" si="8"/>
        <v>0</v>
      </c>
      <c r="X139" s="200"/>
    </row>
    <row r="140">
      <c r="A140" s="135"/>
      <c r="B140" s="135"/>
      <c r="C140" s="135"/>
      <c r="D140" s="195"/>
      <c r="E140" s="135" t="str">
        <f>IFERROR(VLOOKUP(C140,'Công T5'!$C$7:$F$89,4,0),"")</f>
        <v/>
      </c>
      <c r="F140" s="137" t="str">
        <f>IFERROR(__xludf.DUMMYFUNCTION("INDEX(FILTER('Công T5'!$B$8:$C$89,'Công T5'!$C$8:$C$89=C140),1,1)"),"")</f>
        <v/>
      </c>
      <c r="G140" s="138" t="str">
        <f>IFERROR(__xludf.DUMMYFUNCTION("IFERROR(INDEX(FILTER('Vân tay'!$A$5:$O270,'Vân tay'!$C$5:$C270=F140,'Vân tay'!$B$5:$B270=D140),1,10),"""")"),"")</f>
        <v/>
      </c>
      <c r="H140" s="138" t="str">
        <f>IFERROR(__xludf.DUMMYFUNCTION("IFERROR(INDEX(FILTER('Vân tay'!$A$5:$O270,'Vân tay'!$C$5:$C270=F140,'Vân tay'!$B$5:$B270=D140),1,11),"""")"),"")</f>
        <v/>
      </c>
      <c r="I140" s="138" t="str">
        <f>IFERROR(__xludf.DUMMYFUNCTION("IFERROR(INDEX(FILTER('Vân tay'!$A$5:$O270,'Vân tay'!$C$5:$C270=F140,'Vân tay'!$B$5:$B270=D140),1,14),"""")"),"")</f>
        <v/>
      </c>
      <c r="J140" s="138" t="str">
        <f>IFERROR(__xludf.DUMMYFUNCTION("IFERROR(INDEX(FILTER('Vân tay'!$A$5:$O270,'Vân tay'!$C$5:$C270=F140,'Vân tay'!$B$5:$B270=D140),1,15),"""")"),"")</f>
        <v/>
      </c>
      <c r="K140" s="196" t="str">
        <f t="shared" si="1"/>
        <v/>
      </c>
      <c r="L140" s="196" t="str">
        <f t="shared" si="2"/>
        <v/>
      </c>
      <c r="M140" s="197" t="str">
        <f t="shared" si="9"/>
        <v/>
      </c>
      <c r="N140" s="198" t="str">
        <f t="shared" si="3"/>
        <v/>
      </c>
      <c r="O140" s="198" t="str">
        <f t="shared" si="10"/>
        <v/>
      </c>
      <c r="P140" s="198"/>
      <c r="Q140" s="198">
        <f t="shared" si="4"/>
        <v>0</v>
      </c>
      <c r="R140" s="198">
        <f t="shared" si="5"/>
        <v>0</v>
      </c>
      <c r="S140" s="199">
        <f t="shared" si="6"/>
        <v>0</v>
      </c>
      <c r="T140" s="198">
        <f t="shared" si="7"/>
        <v>0</v>
      </c>
      <c r="U140" s="198"/>
      <c r="V140" s="198"/>
      <c r="W140" s="198">
        <f t="shared" si="8"/>
        <v>0</v>
      </c>
      <c r="X140" s="200"/>
    </row>
    <row r="141">
      <c r="A141" s="135"/>
      <c r="B141" s="135"/>
      <c r="C141" s="135"/>
      <c r="D141" s="195"/>
      <c r="E141" s="135" t="str">
        <f>IFERROR(VLOOKUP(C141,'Công T5'!$C$7:$F$89,4,0),"")</f>
        <v/>
      </c>
      <c r="F141" s="137" t="str">
        <f>IFERROR(__xludf.DUMMYFUNCTION("INDEX(FILTER('Công T5'!$B$8:$C$89,'Công T5'!$C$8:$C$89=C141),1,1)"),"")</f>
        <v/>
      </c>
      <c r="G141" s="138" t="str">
        <f>IFERROR(__xludf.DUMMYFUNCTION("IFERROR(INDEX(FILTER('Vân tay'!$A$5:$O270,'Vân tay'!$C$5:$C270=F141,'Vân tay'!$B$5:$B270=D141),1,10),"""")"),"")</f>
        <v/>
      </c>
      <c r="H141" s="138" t="str">
        <f>IFERROR(__xludf.DUMMYFUNCTION("IFERROR(INDEX(FILTER('Vân tay'!$A$5:$O270,'Vân tay'!$C$5:$C270=F141,'Vân tay'!$B$5:$B270=D141),1,11),"""")"),"")</f>
        <v/>
      </c>
      <c r="I141" s="138" t="str">
        <f>IFERROR(__xludf.DUMMYFUNCTION("IFERROR(INDEX(FILTER('Vân tay'!$A$5:$O270,'Vân tay'!$C$5:$C270=F141,'Vân tay'!$B$5:$B270=D141),1,14),"""")"),"")</f>
        <v/>
      </c>
      <c r="J141" s="138" t="str">
        <f>IFERROR(__xludf.DUMMYFUNCTION("IFERROR(INDEX(FILTER('Vân tay'!$A$5:$O270,'Vân tay'!$C$5:$C270=F141,'Vân tay'!$B$5:$B270=D141),1,15),"""")"),"")</f>
        <v/>
      </c>
      <c r="K141" s="196" t="str">
        <f t="shared" si="1"/>
        <v/>
      </c>
      <c r="L141" s="196" t="str">
        <f t="shared" si="2"/>
        <v/>
      </c>
      <c r="M141" s="197" t="str">
        <f t="shared" si="9"/>
        <v/>
      </c>
      <c r="N141" s="198" t="str">
        <f t="shared" si="3"/>
        <v/>
      </c>
      <c r="O141" s="198" t="str">
        <f t="shared" si="10"/>
        <v/>
      </c>
      <c r="P141" s="198"/>
      <c r="Q141" s="198">
        <f t="shared" si="4"/>
        <v>0</v>
      </c>
      <c r="R141" s="198">
        <f t="shared" si="5"/>
        <v>0</v>
      </c>
      <c r="S141" s="199">
        <f t="shared" si="6"/>
        <v>0</v>
      </c>
      <c r="T141" s="198">
        <f t="shared" si="7"/>
        <v>0</v>
      </c>
      <c r="U141" s="198"/>
      <c r="V141" s="198"/>
      <c r="W141" s="198">
        <f t="shared" si="8"/>
        <v>0</v>
      </c>
      <c r="X141" s="200"/>
    </row>
    <row r="142">
      <c r="A142" s="135"/>
      <c r="B142" s="135"/>
      <c r="C142" s="135"/>
      <c r="D142" s="195"/>
      <c r="E142" s="135" t="str">
        <f>IFERROR(VLOOKUP(C142,'Công T5'!$C$7:$F$89,4,0),"")</f>
        <v/>
      </c>
      <c r="F142" s="137" t="str">
        <f>IFERROR(__xludf.DUMMYFUNCTION("INDEX(FILTER('Công T5'!$B$8:$C$89,'Công T5'!$C$8:$C$89=C142),1,1)"),"")</f>
        <v/>
      </c>
      <c r="G142" s="138" t="str">
        <f>IFERROR(__xludf.DUMMYFUNCTION("IFERROR(INDEX(FILTER('Vân tay'!$A$5:$O270,'Vân tay'!$C$5:$C270=F142,'Vân tay'!$B$5:$B270=D142),1,10),"""")"),"")</f>
        <v/>
      </c>
      <c r="H142" s="138" t="str">
        <f>IFERROR(__xludf.DUMMYFUNCTION("IFERROR(INDEX(FILTER('Vân tay'!$A$5:$O270,'Vân tay'!$C$5:$C270=F142,'Vân tay'!$B$5:$B270=D142),1,11),"""")"),"")</f>
        <v/>
      </c>
      <c r="I142" s="138" t="str">
        <f>IFERROR(__xludf.DUMMYFUNCTION("IFERROR(INDEX(FILTER('Vân tay'!$A$5:$O270,'Vân tay'!$C$5:$C270=F142,'Vân tay'!$B$5:$B270=D142),1,14),"""")"),"")</f>
        <v/>
      </c>
      <c r="J142" s="138" t="str">
        <f>IFERROR(__xludf.DUMMYFUNCTION("IFERROR(INDEX(FILTER('Vân tay'!$A$5:$O270,'Vân tay'!$C$5:$C270=F142,'Vân tay'!$B$5:$B270=D142),1,15),"""")"),"")</f>
        <v/>
      </c>
      <c r="K142" s="196" t="str">
        <f t="shared" si="1"/>
        <v/>
      </c>
      <c r="L142" s="196" t="str">
        <f t="shared" si="2"/>
        <v/>
      </c>
      <c r="M142" s="197" t="str">
        <f t="shared" si="9"/>
        <v/>
      </c>
      <c r="N142" s="198" t="str">
        <f t="shared" si="3"/>
        <v/>
      </c>
      <c r="O142" s="198" t="str">
        <f t="shared" si="10"/>
        <v/>
      </c>
      <c r="P142" s="198"/>
      <c r="Q142" s="198">
        <f t="shared" si="4"/>
        <v>0</v>
      </c>
      <c r="R142" s="198">
        <f t="shared" si="5"/>
        <v>0</v>
      </c>
      <c r="S142" s="199">
        <f t="shared" si="6"/>
        <v>0</v>
      </c>
      <c r="T142" s="198">
        <f t="shared" si="7"/>
        <v>0</v>
      </c>
      <c r="U142" s="198"/>
      <c r="V142" s="198"/>
      <c r="W142" s="198">
        <f t="shared" si="8"/>
        <v>0</v>
      </c>
      <c r="X142" s="200"/>
    </row>
    <row r="143">
      <c r="A143" s="135"/>
      <c r="B143" s="135"/>
      <c r="C143" s="135"/>
      <c r="D143" s="195"/>
      <c r="E143" s="135" t="str">
        <f>IFERROR(VLOOKUP(C143,'Công T5'!$C$7:$F$89,4,0),"")</f>
        <v/>
      </c>
      <c r="F143" s="137" t="str">
        <f>IFERROR(__xludf.DUMMYFUNCTION("INDEX(FILTER('Công T5'!$B$8:$C$89,'Công T5'!$C$8:$C$89=C143),1,1)"),"")</f>
        <v/>
      </c>
      <c r="G143" s="138" t="str">
        <f>IFERROR(__xludf.DUMMYFUNCTION("IFERROR(INDEX(FILTER('Vân tay'!$A$5:$O270,'Vân tay'!$C$5:$C270=F143,'Vân tay'!$B$5:$B270=D143),1,10),"""")"),"")</f>
        <v/>
      </c>
      <c r="H143" s="138" t="str">
        <f>IFERROR(__xludf.DUMMYFUNCTION("IFERROR(INDEX(FILTER('Vân tay'!$A$5:$O270,'Vân tay'!$C$5:$C270=F143,'Vân tay'!$B$5:$B270=D143),1,11),"""")"),"")</f>
        <v/>
      </c>
      <c r="I143" s="138" t="str">
        <f>IFERROR(__xludf.DUMMYFUNCTION("IFERROR(INDEX(FILTER('Vân tay'!$A$5:$O270,'Vân tay'!$C$5:$C270=F143,'Vân tay'!$B$5:$B270=D143),1,14),"""")"),"")</f>
        <v/>
      </c>
      <c r="J143" s="138" t="str">
        <f>IFERROR(__xludf.DUMMYFUNCTION("IFERROR(INDEX(FILTER('Vân tay'!$A$5:$O270,'Vân tay'!$C$5:$C270=F143,'Vân tay'!$B$5:$B270=D143),1,15),"""")"),"")</f>
        <v/>
      </c>
      <c r="K143" s="196" t="str">
        <f t="shared" si="1"/>
        <v/>
      </c>
      <c r="L143" s="196" t="str">
        <f t="shared" si="2"/>
        <v/>
      </c>
      <c r="M143" s="197" t="str">
        <f t="shared" si="9"/>
        <v/>
      </c>
      <c r="N143" s="198" t="str">
        <f t="shared" si="3"/>
        <v/>
      </c>
      <c r="O143" s="198" t="str">
        <f t="shared" si="10"/>
        <v/>
      </c>
      <c r="P143" s="198"/>
      <c r="Q143" s="198">
        <f t="shared" si="4"/>
        <v>0</v>
      </c>
      <c r="R143" s="198">
        <f t="shared" si="5"/>
        <v>0</v>
      </c>
      <c r="S143" s="199">
        <f t="shared" si="6"/>
        <v>0</v>
      </c>
      <c r="T143" s="198">
        <f t="shared" si="7"/>
        <v>0</v>
      </c>
      <c r="U143" s="198"/>
      <c r="V143" s="198"/>
      <c r="W143" s="198">
        <f t="shared" si="8"/>
        <v>0</v>
      </c>
      <c r="X143" s="200"/>
    </row>
    <row r="144">
      <c r="A144" s="135"/>
      <c r="B144" s="135"/>
      <c r="C144" s="135"/>
      <c r="D144" s="195"/>
      <c r="E144" s="135" t="str">
        <f>IFERROR(VLOOKUP(C144,'Công T5'!$C$7:$F$89,4,0),"")</f>
        <v/>
      </c>
      <c r="F144" s="137" t="str">
        <f>IFERROR(__xludf.DUMMYFUNCTION("INDEX(FILTER('Công T5'!$B$8:$C$89,'Công T5'!$C$8:$C$89=C144),1,1)"),"")</f>
        <v/>
      </c>
      <c r="G144" s="138" t="str">
        <f>IFERROR(__xludf.DUMMYFUNCTION("IFERROR(INDEX(FILTER('Vân tay'!$A$5:$O270,'Vân tay'!$C$5:$C270=F144,'Vân tay'!$B$5:$B270=D144),1,10),"""")"),"")</f>
        <v/>
      </c>
      <c r="H144" s="138" t="str">
        <f>IFERROR(__xludf.DUMMYFUNCTION("IFERROR(INDEX(FILTER('Vân tay'!$A$5:$O270,'Vân tay'!$C$5:$C270=F144,'Vân tay'!$B$5:$B270=D144),1,11),"""")"),"")</f>
        <v/>
      </c>
      <c r="I144" s="138" t="str">
        <f>IFERROR(__xludf.DUMMYFUNCTION("IFERROR(INDEX(FILTER('Vân tay'!$A$5:$O270,'Vân tay'!$C$5:$C270=F144,'Vân tay'!$B$5:$B270=D144),1,14),"""")"),"")</f>
        <v/>
      </c>
      <c r="J144" s="138" t="str">
        <f>IFERROR(__xludf.DUMMYFUNCTION("IFERROR(INDEX(FILTER('Vân tay'!$A$5:$O270,'Vân tay'!$C$5:$C270=F144,'Vân tay'!$B$5:$B270=D144),1,15),"""")"),"")</f>
        <v/>
      </c>
      <c r="K144" s="196" t="str">
        <f t="shared" si="1"/>
        <v/>
      </c>
      <c r="L144" s="196" t="str">
        <f t="shared" si="2"/>
        <v/>
      </c>
      <c r="M144" s="197" t="str">
        <f t="shared" si="9"/>
        <v/>
      </c>
      <c r="N144" s="198" t="str">
        <f t="shared" si="3"/>
        <v/>
      </c>
      <c r="O144" s="198" t="str">
        <f t="shared" si="10"/>
        <v/>
      </c>
      <c r="P144" s="198"/>
      <c r="Q144" s="198">
        <f t="shared" si="4"/>
        <v>0</v>
      </c>
      <c r="R144" s="198">
        <f t="shared" si="5"/>
        <v>0</v>
      </c>
      <c r="S144" s="199">
        <f t="shared" si="6"/>
        <v>0</v>
      </c>
      <c r="T144" s="198">
        <f t="shared" si="7"/>
        <v>0</v>
      </c>
      <c r="U144" s="198"/>
      <c r="V144" s="198"/>
      <c r="W144" s="198">
        <f t="shared" si="8"/>
        <v>0</v>
      </c>
      <c r="X144" s="200"/>
    </row>
    <row r="145">
      <c r="A145" s="135"/>
      <c r="B145" s="135"/>
      <c r="C145" s="195"/>
      <c r="D145" s="195"/>
      <c r="E145" s="135" t="str">
        <f>IFERROR(VLOOKUP(C145,'Công T5'!$C$7:$F$89,4,0),"")</f>
        <v/>
      </c>
      <c r="F145" s="137" t="str">
        <f>IFERROR(__xludf.DUMMYFUNCTION("INDEX(FILTER('Công T5'!$B$8:$C$89,'Công T5'!$C$8:$C$89=C145),1,1)"),"")</f>
        <v/>
      </c>
      <c r="G145" s="138" t="str">
        <f>IFERROR(__xludf.DUMMYFUNCTION("IFERROR(INDEX(FILTER('Vân tay'!$A$5:$O270,'Vân tay'!$C$5:$C270=F145,'Vân tay'!$B$5:$B270=D145),1,10),"""")"),"")</f>
        <v/>
      </c>
      <c r="H145" s="138" t="str">
        <f>IFERROR(__xludf.DUMMYFUNCTION("IFERROR(INDEX(FILTER('Vân tay'!$A$5:$O270,'Vân tay'!$C$5:$C270=F145,'Vân tay'!$B$5:$B270=D145),1,11),"""")"),"")</f>
        <v/>
      </c>
      <c r="I145" s="138" t="str">
        <f>IFERROR(__xludf.DUMMYFUNCTION("IFERROR(INDEX(FILTER('Vân tay'!$A$5:$O270,'Vân tay'!$C$5:$C270=F145,'Vân tay'!$B$5:$B270=D145),1,14),"""")"),"")</f>
        <v/>
      </c>
      <c r="J145" s="138" t="str">
        <f>IFERROR(__xludf.DUMMYFUNCTION("IFERROR(INDEX(FILTER('Vân tay'!$A$5:$O270,'Vân tay'!$C$5:$C270=F145,'Vân tay'!$B$5:$B270=D145),1,15),"""")"),"")</f>
        <v/>
      </c>
      <c r="K145" s="196" t="str">
        <f t="shared" si="1"/>
        <v/>
      </c>
      <c r="L145" s="196" t="str">
        <f t="shared" si="2"/>
        <v/>
      </c>
      <c r="M145" s="197" t="str">
        <f t="shared" si="9"/>
        <v/>
      </c>
      <c r="N145" s="198" t="str">
        <f t="shared" si="3"/>
        <v/>
      </c>
      <c r="O145" s="198" t="str">
        <f t="shared" si="10"/>
        <v/>
      </c>
      <c r="P145" s="198"/>
      <c r="Q145" s="198">
        <f t="shared" si="4"/>
        <v>0</v>
      </c>
      <c r="R145" s="198">
        <f t="shared" si="5"/>
        <v>0</v>
      </c>
      <c r="S145" s="199">
        <f t="shared" si="6"/>
        <v>0</v>
      </c>
      <c r="T145" s="198">
        <f t="shared" si="7"/>
        <v>0</v>
      </c>
      <c r="U145" s="198"/>
      <c r="V145" s="198"/>
      <c r="W145" s="198">
        <f t="shared" si="8"/>
        <v>0</v>
      </c>
      <c r="X145" s="200"/>
    </row>
    <row r="146">
      <c r="A146" s="135"/>
      <c r="B146" s="135"/>
      <c r="C146" s="135"/>
      <c r="D146" s="195"/>
      <c r="E146" s="135" t="str">
        <f>IFERROR(VLOOKUP(C146,'Công T5'!$C$7:$F$89,4,0),"")</f>
        <v/>
      </c>
      <c r="F146" s="137" t="str">
        <f>IFERROR(__xludf.DUMMYFUNCTION("INDEX(FILTER('Công T5'!$B$8:$C$89,'Công T5'!$C$8:$C$89=C146),1,1)"),"")</f>
        <v/>
      </c>
      <c r="G146" s="138" t="str">
        <f>IFERROR(__xludf.DUMMYFUNCTION("IFERROR(INDEX(FILTER('Vân tay'!$A$5:$O270,'Vân tay'!$C$5:$C270=F146,'Vân tay'!$B$5:$B270=D146),1,10),"""")"),"")</f>
        <v/>
      </c>
      <c r="H146" s="138" t="str">
        <f>IFERROR(__xludf.DUMMYFUNCTION("IFERROR(INDEX(FILTER('Vân tay'!$A$5:$O270,'Vân tay'!$C$5:$C270=F146,'Vân tay'!$B$5:$B270=D146),1,11),"""")"),"")</f>
        <v/>
      </c>
      <c r="I146" s="138" t="str">
        <f>IFERROR(__xludf.DUMMYFUNCTION("IFERROR(INDEX(FILTER('Vân tay'!$A$5:$O270,'Vân tay'!$C$5:$C270=F146,'Vân tay'!$B$5:$B270=D146),1,14),"""")"),"")</f>
        <v/>
      </c>
      <c r="J146" s="138" t="str">
        <f>IFERROR(__xludf.DUMMYFUNCTION("IFERROR(INDEX(FILTER('Vân tay'!$A$5:$O270,'Vân tay'!$C$5:$C270=F146,'Vân tay'!$B$5:$B270=D146),1,15),"""")"),"")</f>
        <v/>
      </c>
      <c r="K146" s="196" t="str">
        <f t="shared" si="1"/>
        <v/>
      </c>
      <c r="L146" s="196" t="str">
        <f t="shared" si="2"/>
        <v/>
      </c>
      <c r="M146" s="197" t="str">
        <f t="shared" si="9"/>
        <v/>
      </c>
      <c r="N146" s="198" t="str">
        <f t="shared" si="3"/>
        <v/>
      </c>
      <c r="O146" s="198" t="str">
        <f t="shared" si="10"/>
        <v/>
      </c>
      <c r="P146" s="198"/>
      <c r="Q146" s="198">
        <f t="shared" si="4"/>
        <v>0</v>
      </c>
      <c r="R146" s="198">
        <f t="shared" si="5"/>
        <v>0</v>
      </c>
      <c r="S146" s="199">
        <f t="shared" si="6"/>
        <v>0</v>
      </c>
      <c r="T146" s="198">
        <f t="shared" si="7"/>
        <v>0</v>
      </c>
      <c r="U146" s="198"/>
      <c r="V146" s="198"/>
      <c r="W146" s="198">
        <f t="shared" si="8"/>
        <v>0</v>
      </c>
      <c r="X146" s="200"/>
    </row>
    <row r="147">
      <c r="A147" s="135"/>
      <c r="B147" s="135"/>
      <c r="C147" s="195"/>
      <c r="D147" s="195"/>
      <c r="E147" s="135" t="str">
        <f>IFERROR(VLOOKUP(C147,'Công T5'!$C$7:$F$89,4,0),"")</f>
        <v/>
      </c>
      <c r="F147" s="137" t="str">
        <f>IFERROR(__xludf.DUMMYFUNCTION("INDEX(FILTER('Công T5'!$B$8:$C$89,'Công T5'!$C$8:$C$89=C147),1,1)"),"")</f>
        <v/>
      </c>
      <c r="G147" s="138" t="str">
        <f>IFERROR(__xludf.DUMMYFUNCTION("IFERROR(INDEX(FILTER('Vân tay'!$A$5:$O270,'Vân tay'!$C$5:$C270=F147,'Vân tay'!$B$5:$B270=D147),1,10),"""")"),"")</f>
        <v/>
      </c>
      <c r="H147" s="138" t="str">
        <f>IFERROR(__xludf.DUMMYFUNCTION("IFERROR(INDEX(FILTER('Vân tay'!$A$5:$O270,'Vân tay'!$C$5:$C270=F147,'Vân tay'!$B$5:$B270=D147),1,11),"""")"),"")</f>
        <v/>
      </c>
      <c r="I147" s="138" t="str">
        <f>IFERROR(__xludf.DUMMYFUNCTION("IFERROR(INDEX(FILTER('Vân tay'!$A$5:$O270,'Vân tay'!$C$5:$C270=F147,'Vân tay'!$B$5:$B270=D147),1,14),"""")"),"")</f>
        <v/>
      </c>
      <c r="J147" s="138" t="str">
        <f>IFERROR(__xludf.DUMMYFUNCTION("IFERROR(INDEX(FILTER('Vân tay'!$A$5:$O270,'Vân tay'!$C$5:$C270=F147,'Vân tay'!$B$5:$B270=D147),1,15),"""")"),"")</f>
        <v/>
      </c>
      <c r="K147" s="196" t="str">
        <f t="shared" si="1"/>
        <v/>
      </c>
      <c r="L147" s="196" t="str">
        <f t="shared" si="2"/>
        <v/>
      </c>
      <c r="M147" s="197" t="str">
        <f t="shared" si="9"/>
        <v/>
      </c>
      <c r="N147" s="198" t="str">
        <f t="shared" si="3"/>
        <v/>
      </c>
      <c r="O147" s="198" t="str">
        <f t="shared" si="10"/>
        <v/>
      </c>
      <c r="P147" s="198"/>
      <c r="Q147" s="198">
        <f t="shared" si="4"/>
        <v>0</v>
      </c>
      <c r="R147" s="198">
        <f t="shared" si="5"/>
        <v>0</v>
      </c>
      <c r="S147" s="199">
        <f t="shared" si="6"/>
        <v>0</v>
      </c>
      <c r="T147" s="198">
        <f t="shared" si="7"/>
        <v>0</v>
      </c>
      <c r="U147" s="198"/>
      <c r="V147" s="198"/>
      <c r="W147" s="198">
        <f t="shared" si="8"/>
        <v>0</v>
      </c>
      <c r="X147" s="200"/>
    </row>
    <row r="148">
      <c r="A148" s="135"/>
      <c r="B148" s="135"/>
      <c r="C148" s="135"/>
      <c r="D148" s="195"/>
      <c r="E148" s="135" t="str">
        <f>IFERROR(VLOOKUP(C148,'Công T5'!$C$7:$F$89,4,0),"")</f>
        <v/>
      </c>
      <c r="F148" s="137" t="str">
        <f>IFERROR(__xludf.DUMMYFUNCTION("INDEX(FILTER('Công T5'!$B$8:$C$89,'Công T5'!$C$8:$C$89=C148),1,1)"),"")</f>
        <v/>
      </c>
      <c r="G148" s="138" t="str">
        <f>IFERROR(__xludf.DUMMYFUNCTION("IFERROR(INDEX(FILTER('Vân tay'!$A$5:$O270,'Vân tay'!$C$5:$C270=F148,'Vân tay'!$B$5:$B270=D148),1,10),"""")"),"")</f>
        <v/>
      </c>
      <c r="H148" s="138" t="str">
        <f>IFERROR(__xludf.DUMMYFUNCTION("IFERROR(INDEX(FILTER('Vân tay'!$A$5:$O270,'Vân tay'!$C$5:$C270=F148,'Vân tay'!$B$5:$B270=D148),1,11),"""")"),"")</f>
        <v/>
      </c>
      <c r="I148" s="138" t="str">
        <f>IFERROR(__xludf.DUMMYFUNCTION("IFERROR(INDEX(FILTER('Vân tay'!$A$5:$O270,'Vân tay'!$C$5:$C270=F148,'Vân tay'!$B$5:$B270=D148),1,14),"""")"),"")</f>
        <v/>
      </c>
      <c r="J148" s="138" t="str">
        <f>IFERROR(__xludf.DUMMYFUNCTION("IFERROR(INDEX(FILTER('Vân tay'!$A$5:$O270,'Vân tay'!$C$5:$C270=F148,'Vân tay'!$B$5:$B270=D148),1,15),"""")"),"")</f>
        <v/>
      </c>
      <c r="K148" s="196" t="str">
        <f t="shared" si="1"/>
        <v/>
      </c>
      <c r="L148" s="196" t="str">
        <f t="shared" si="2"/>
        <v/>
      </c>
      <c r="M148" s="197" t="str">
        <f t="shared" si="9"/>
        <v/>
      </c>
      <c r="N148" s="198" t="str">
        <f t="shared" si="3"/>
        <v/>
      </c>
      <c r="O148" s="198" t="str">
        <f t="shared" si="10"/>
        <v/>
      </c>
      <c r="P148" s="198"/>
      <c r="Q148" s="198">
        <f t="shared" si="4"/>
        <v>0</v>
      </c>
      <c r="R148" s="198">
        <f t="shared" si="5"/>
        <v>0</v>
      </c>
      <c r="S148" s="199">
        <f t="shared" si="6"/>
        <v>0</v>
      </c>
      <c r="T148" s="198">
        <f t="shared" si="7"/>
        <v>0</v>
      </c>
      <c r="U148" s="198"/>
      <c r="V148" s="198"/>
      <c r="W148" s="198">
        <f t="shared" si="8"/>
        <v>0</v>
      </c>
      <c r="X148" s="200"/>
    </row>
    <row r="149">
      <c r="A149" s="135"/>
      <c r="B149" s="135"/>
      <c r="C149" s="135"/>
      <c r="D149" s="195"/>
      <c r="E149" s="135" t="str">
        <f>IFERROR(VLOOKUP(C149,'Công T5'!$C$7:$F$89,4,0),"")</f>
        <v/>
      </c>
      <c r="F149" s="137" t="str">
        <f>IFERROR(__xludf.DUMMYFUNCTION("INDEX(FILTER('Công T5'!$B$8:$C$89,'Công T5'!$C$8:$C$89=C149),1,1)"),"")</f>
        <v/>
      </c>
      <c r="G149" s="138" t="str">
        <f>IFERROR(__xludf.DUMMYFUNCTION("IFERROR(INDEX(FILTER('Vân tay'!$A$5:$O270,'Vân tay'!$C$5:$C270=F149,'Vân tay'!$B$5:$B270=D149),1,10),"""")"),"")</f>
        <v/>
      </c>
      <c r="H149" s="138" t="str">
        <f>IFERROR(__xludf.DUMMYFUNCTION("IFERROR(INDEX(FILTER('Vân tay'!$A$5:$O270,'Vân tay'!$C$5:$C270=F149,'Vân tay'!$B$5:$B270=D149),1,11),"""")"),"")</f>
        <v/>
      </c>
      <c r="I149" s="138" t="str">
        <f>IFERROR(__xludf.DUMMYFUNCTION("IFERROR(INDEX(FILTER('Vân tay'!$A$5:$O270,'Vân tay'!$C$5:$C270=F149,'Vân tay'!$B$5:$B270=D149),1,14),"""")"),"")</f>
        <v/>
      </c>
      <c r="J149" s="138" t="str">
        <f>IFERROR(__xludf.DUMMYFUNCTION("IFERROR(INDEX(FILTER('Vân tay'!$A$5:$O270,'Vân tay'!$C$5:$C270=F149,'Vân tay'!$B$5:$B270=D149),1,15),"""")"),"")</f>
        <v/>
      </c>
      <c r="K149" s="196" t="str">
        <f t="shared" si="1"/>
        <v/>
      </c>
      <c r="L149" s="196" t="str">
        <f t="shared" si="2"/>
        <v/>
      </c>
      <c r="M149" s="197" t="str">
        <f t="shared" si="9"/>
        <v/>
      </c>
      <c r="N149" s="198" t="str">
        <f t="shared" si="3"/>
        <v/>
      </c>
      <c r="O149" s="198" t="str">
        <f t="shared" si="10"/>
        <v/>
      </c>
      <c r="P149" s="198"/>
      <c r="Q149" s="198">
        <f t="shared" si="4"/>
        <v>0</v>
      </c>
      <c r="R149" s="198">
        <f t="shared" si="5"/>
        <v>0</v>
      </c>
      <c r="S149" s="199">
        <f t="shared" si="6"/>
        <v>0</v>
      </c>
      <c r="T149" s="198">
        <f t="shared" si="7"/>
        <v>0</v>
      </c>
      <c r="U149" s="198"/>
      <c r="V149" s="198"/>
      <c r="W149" s="198">
        <f t="shared" si="8"/>
        <v>0</v>
      </c>
      <c r="X149" s="200"/>
    </row>
    <row r="150">
      <c r="A150" s="135"/>
      <c r="B150" s="135"/>
      <c r="C150" s="135"/>
      <c r="D150" s="195"/>
      <c r="E150" s="135" t="str">
        <f>IFERROR(VLOOKUP(C150,'Công T5'!$C$7:$F$89,4,0),"")</f>
        <v/>
      </c>
      <c r="F150" s="137" t="str">
        <f>IFERROR(__xludf.DUMMYFUNCTION("INDEX(FILTER('Công T5'!$B$8:$C$89,'Công T5'!$C$8:$C$89=C150),1,1)"),"")</f>
        <v/>
      </c>
      <c r="G150" s="138" t="str">
        <f>IFERROR(__xludf.DUMMYFUNCTION("IFERROR(INDEX(FILTER('Vân tay'!$A$5:$O270,'Vân tay'!$C$5:$C270=F150,'Vân tay'!$B$5:$B270=D150),1,10),"""")"),"")</f>
        <v/>
      </c>
      <c r="H150" s="138" t="str">
        <f>IFERROR(__xludf.DUMMYFUNCTION("IFERROR(INDEX(FILTER('Vân tay'!$A$5:$O270,'Vân tay'!$C$5:$C270=F150,'Vân tay'!$B$5:$B270=D150),1,11),"""")"),"")</f>
        <v/>
      </c>
      <c r="I150" s="138" t="str">
        <f>IFERROR(__xludf.DUMMYFUNCTION("IFERROR(INDEX(FILTER('Vân tay'!$A$5:$O270,'Vân tay'!$C$5:$C270=F150,'Vân tay'!$B$5:$B270=D150),1,14),"""")"),"")</f>
        <v/>
      </c>
      <c r="J150" s="138" t="str">
        <f>IFERROR(__xludf.DUMMYFUNCTION("IFERROR(INDEX(FILTER('Vân tay'!$A$5:$O270,'Vân tay'!$C$5:$C270=F150,'Vân tay'!$B$5:$B270=D150),1,15),"""")"),"")</f>
        <v/>
      </c>
      <c r="K150" s="196" t="str">
        <f t="shared" si="1"/>
        <v/>
      </c>
      <c r="L150" s="196" t="str">
        <f t="shared" si="2"/>
        <v/>
      </c>
      <c r="M150" s="197" t="str">
        <f t="shared" si="9"/>
        <v/>
      </c>
      <c r="N150" s="198" t="str">
        <f t="shared" si="3"/>
        <v/>
      </c>
      <c r="O150" s="198" t="str">
        <f t="shared" si="10"/>
        <v/>
      </c>
      <c r="P150" s="198"/>
      <c r="Q150" s="198">
        <f t="shared" si="4"/>
        <v>0</v>
      </c>
      <c r="R150" s="198">
        <f t="shared" si="5"/>
        <v>0</v>
      </c>
      <c r="S150" s="199">
        <f t="shared" si="6"/>
        <v>0</v>
      </c>
      <c r="T150" s="198">
        <f t="shared" si="7"/>
        <v>0</v>
      </c>
      <c r="U150" s="198"/>
      <c r="V150" s="198"/>
      <c r="W150" s="198">
        <f t="shared" si="8"/>
        <v>0</v>
      </c>
      <c r="X150" s="200"/>
    </row>
    <row r="151">
      <c r="A151" s="135"/>
      <c r="B151" s="135"/>
      <c r="C151" s="195"/>
      <c r="D151" s="195"/>
      <c r="E151" s="135" t="str">
        <f>IFERROR(VLOOKUP(C151,'Công T5'!$C$7:$F$89,4,0),"")</f>
        <v/>
      </c>
      <c r="F151" s="137" t="str">
        <f>IFERROR(__xludf.DUMMYFUNCTION("INDEX(FILTER('Công T5'!$B$8:$C$89,'Công T5'!$C$8:$C$89=C151),1,1)"),"")</f>
        <v/>
      </c>
      <c r="G151" s="138" t="str">
        <f>IFERROR(__xludf.DUMMYFUNCTION("IFERROR(INDEX(FILTER('Vân tay'!$A$5:$O270,'Vân tay'!$C$5:$C270=F151,'Vân tay'!$B$5:$B270=D151),1,10),"""")"),"")</f>
        <v/>
      </c>
      <c r="H151" s="138" t="str">
        <f>IFERROR(__xludf.DUMMYFUNCTION("IFERROR(INDEX(FILTER('Vân tay'!$A$5:$O270,'Vân tay'!$C$5:$C270=F151,'Vân tay'!$B$5:$B270=D151),1,11),"""")"),"")</f>
        <v/>
      </c>
      <c r="I151" s="138" t="str">
        <f>IFERROR(__xludf.DUMMYFUNCTION("IFERROR(INDEX(FILTER('Vân tay'!$A$5:$O270,'Vân tay'!$C$5:$C270=F151,'Vân tay'!$B$5:$B270=D151),1,14),"""")"),"")</f>
        <v/>
      </c>
      <c r="J151" s="138" t="str">
        <f>IFERROR(__xludf.DUMMYFUNCTION("IFERROR(INDEX(FILTER('Vân tay'!$A$5:$O270,'Vân tay'!$C$5:$C270=F151,'Vân tay'!$B$5:$B270=D151),1,15),"""")"),"")</f>
        <v/>
      </c>
      <c r="K151" s="196" t="str">
        <f t="shared" si="1"/>
        <v/>
      </c>
      <c r="L151" s="196" t="str">
        <f t="shared" si="2"/>
        <v/>
      </c>
      <c r="M151" s="197" t="str">
        <f t="shared" si="9"/>
        <v/>
      </c>
      <c r="N151" s="198" t="str">
        <f t="shared" si="3"/>
        <v/>
      </c>
      <c r="O151" s="198" t="str">
        <f t="shared" si="10"/>
        <v/>
      </c>
      <c r="P151" s="198"/>
      <c r="Q151" s="198">
        <f t="shared" si="4"/>
        <v>0</v>
      </c>
      <c r="R151" s="198">
        <f t="shared" si="5"/>
        <v>0</v>
      </c>
      <c r="S151" s="199">
        <f t="shared" si="6"/>
        <v>0</v>
      </c>
      <c r="T151" s="198">
        <f t="shared" si="7"/>
        <v>0</v>
      </c>
      <c r="U151" s="198"/>
      <c r="V151" s="198"/>
      <c r="W151" s="198">
        <f t="shared" si="8"/>
        <v>0</v>
      </c>
      <c r="X151" s="200"/>
    </row>
    <row r="152">
      <c r="A152" s="135"/>
      <c r="B152" s="135"/>
      <c r="C152" s="135"/>
      <c r="D152" s="195"/>
      <c r="E152" s="135" t="str">
        <f>IFERROR(VLOOKUP(C152,'Công T5'!$C$7:$F$89,4,0),"")</f>
        <v/>
      </c>
      <c r="F152" s="137" t="str">
        <f>IFERROR(__xludf.DUMMYFUNCTION("INDEX(FILTER('Công T5'!$B$8:$C$89,'Công T5'!$C$8:$C$89=C152),1,1)"),"")</f>
        <v/>
      </c>
      <c r="G152" s="138" t="str">
        <f>IFERROR(__xludf.DUMMYFUNCTION("IFERROR(INDEX(FILTER('Vân tay'!$A$5:$O270,'Vân tay'!$C$5:$C270=F152,'Vân tay'!$B$5:$B270=D152),1,10),"""")"),"")</f>
        <v/>
      </c>
      <c r="H152" s="138" t="str">
        <f>IFERROR(__xludf.DUMMYFUNCTION("IFERROR(INDEX(FILTER('Vân tay'!$A$5:$O270,'Vân tay'!$C$5:$C270=F152,'Vân tay'!$B$5:$B270=D152),1,11),"""")"),"")</f>
        <v/>
      </c>
      <c r="I152" s="138" t="str">
        <f>IFERROR(__xludf.DUMMYFUNCTION("IFERROR(INDEX(FILTER('Vân tay'!$A$5:$O270,'Vân tay'!$C$5:$C270=F152,'Vân tay'!$B$5:$B270=D152),1,14),"""")"),"")</f>
        <v/>
      </c>
      <c r="J152" s="138" t="str">
        <f>IFERROR(__xludf.DUMMYFUNCTION("IFERROR(INDEX(FILTER('Vân tay'!$A$5:$O270,'Vân tay'!$C$5:$C270=F152,'Vân tay'!$B$5:$B270=D152),1,15),"""")"),"")</f>
        <v/>
      </c>
      <c r="K152" s="196" t="str">
        <f t="shared" si="1"/>
        <v/>
      </c>
      <c r="L152" s="196" t="str">
        <f t="shared" si="2"/>
        <v/>
      </c>
      <c r="M152" s="197" t="str">
        <f t="shared" si="9"/>
        <v/>
      </c>
      <c r="N152" s="198" t="str">
        <f t="shared" si="3"/>
        <v/>
      </c>
      <c r="O152" s="198" t="str">
        <f t="shared" si="10"/>
        <v/>
      </c>
      <c r="P152" s="198"/>
      <c r="Q152" s="198">
        <f t="shared" si="4"/>
        <v>0</v>
      </c>
      <c r="R152" s="198">
        <f t="shared" si="5"/>
        <v>0</v>
      </c>
      <c r="S152" s="199">
        <f t="shared" si="6"/>
        <v>0</v>
      </c>
      <c r="T152" s="198">
        <f t="shared" si="7"/>
        <v>0</v>
      </c>
      <c r="U152" s="198"/>
      <c r="V152" s="198"/>
      <c r="W152" s="198">
        <f t="shared" si="8"/>
        <v>0</v>
      </c>
      <c r="X152" s="200"/>
    </row>
    <row r="153">
      <c r="A153" s="135"/>
      <c r="B153" s="135"/>
      <c r="C153" s="135"/>
      <c r="D153" s="195"/>
      <c r="E153" s="135" t="str">
        <f>IFERROR(VLOOKUP(C153,'Công T5'!$C$7:$F$89,4,0),"")</f>
        <v/>
      </c>
      <c r="F153" s="137" t="str">
        <f>IFERROR(__xludf.DUMMYFUNCTION("INDEX(FILTER('Công T5'!$B$8:$C$89,'Công T5'!$C$8:$C$89=C153),1,1)"),"")</f>
        <v/>
      </c>
      <c r="G153" s="138" t="str">
        <f>IFERROR(__xludf.DUMMYFUNCTION("IFERROR(INDEX(FILTER('Vân tay'!$A$5:$O270,'Vân tay'!$C$5:$C270=F153,'Vân tay'!$B$5:$B270=D153),1,10),"""")"),"")</f>
        <v/>
      </c>
      <c r="H153" s="138" t="str">
        <f>IFERROR(__xludf.DUMMYFUNCTION("IFERROR(INDEX(FILTER('Vân tay'!$A$5:$O270,'Vân tay'!$C$5:$C270=F153,'Vân tay'!$B$5:$B270=D153),1,11),"""")"),"")</f>
        <v/>
      </c>
      <c r="I153" s="138" t="str">
        <f>IFERROR(__xludf.DUMMYFUNCTION("IFERROR(INDEX(FILTER('Vân tay'!$A$5:$O270,'Vân tay'!$C$5:$C270=F153,'Vân tay'!$B$5:$B270=D153),1,14),"""")"),"")</f>
        <v/>
      </c>
      <c r="J153" s="138" t="str">
        <f>IFERROR(__xludf.DUMMYFUNCTION("IFERROR(INDEX(FILTER('Vân tay'!$A$5:$O270,'Vân tay'!$C$5:$C270=F153,'Vân tay'!$B$5:$B270=D153),1,15),"""")"),"")</f>
        <v/>
      </c>
      <c r="K153" s="196" t="str">
        <f t="shared" si="1"/>
        <v/>
      </c>
      <c r="L153" s="196" t="str">
        <f t="shared" si="2"/>
        <v/>
      </c>
      <c r="M153" s="197" t="str">
        <f t="shared" si="9"/>
        <v/>
      </c>
      <c r="N153" s="198" t="str">
        <f t="shared" si="3"/>
        <v/>
      </c>
      <c r="O153" s="198" t="str">
        <f t="shared" si="10"/>
        <v/>
      </c>
      <c r="P153" s="198"/>
      <c r="Q153" s="198">
        <f t="shared" si="4"/>
        <v>0</v>
      </c>
      <c r="R153" s="198">
        <f t="shared" si="5"/>
        <v>0</v>
      </c>
      <c r="S153" s="199">
        <f t="shared" si="6"/>
        <v>0</v>
      </c>
      <c r="T153" s="198">
        <f t="shared" si="7"/>
        <v>0</v>
      </c>
      <c r="U153" s="198"/>
      <c r="V153" s="198"/>
      <c r="W153" s="198">
        <f t="shared" si="8"/>
        <v>0</v>
      </c>
      <c r="X153" s="200"/>
    </row>
    <row r="154">
      <c r="A154" s="135"/>
      <c r="B154" s="135"/>
      <c r="C154" s="195"/>
      <c r="D154" s="195"/>
      <c r="E154" s="135" t="str">
        <f>IFERROR(VLOOKUP(C154,'Công T5'!$C$7:$F$89,4,0),"")</f>
        <v/>
      </c>
      <c r="F154" s="137" t="str">
        <f>IFERROR(__xludf.DUMMYFUNCTION("INDEX(FILTER('Công T5'!$B$8:$C$89,'Công T5'!$C$8:$C$89=C154),1,1)"),"")</f>
        <v/>
      </c>
      <c r="G154" s="138" t="str">
        <f>IFERROR(__xludf.DUMMYFUNCTION("IFERROR(INDEX(FILTER('Vân tay'!$A$5:$O270,'Vân tay'!$C$5:$C270=F154,'Vân tay'!$B$5:$B270=D154),1,10),"""")"),"")</f>
        <v/>
      </c>
      <c r="H154" s="138" t="str">
        <f>IFERROR(__xludf.DUMMYFUNCTION("IFERROR(INDEX(FILTER('Vân tay'!$A$5:$O270,'Vân tay'!$C$5:$C270=F154,'Vân tay'!$B$5:$B270=D154),1,11),"""")"),"")</f>
        <v/>
      </c>
      <c r="I154" s="138" t="str">
        <f>IFERROR(__xludf.DUMMYFUNCTION("IFERROR(INDEX(FILTER('Vân tay'!$A$5:$O270,'Vân tay'!$C$5:$C270=F154,'Vân tay'!$B$5:$B270=D154),1,14),"""")"),"")</f>
        <v/>
      </c>
      <c r="J154" s="138" t="str">
        <f>IFERROR(__xludf.DUMMYFUNCTION("IFERROR(INDEX(FILTER('Vân tay'!$A$5:$O270,'Vân tay'!$C$5:$C270=F154,'Vân tay'!$B$5:$B270=D154),1,15),"""")"),"")</f>
        <v/>
      </c>
      <c r="K154" s="196" t="str">
        <f t="shared" si="1"/>
        <v/>
      </c>
      <c r="L154" s="196" t="str">
        <f t="shared" si="2"/>
        <v/>
      </c>
      <c r="M154" s="197" t="str">
        <f t="shared" si="9"/>
        <v/>
      </c>
      <c r="N154" s="198" t="str">
        <f t="shared" si="3"/>
        <v/>
      </c>
      <c r="O154" s="198" t="str">
        <f t="shared" si="10"/>
        <v/>
      </c>
      <c r="P154" s="198"/>
      <c r="Q154" s="198">
        <f t="shared" si="4"/>
        <v>0</v>
      </c>
      <c r="R154" s="198">
        <f t="shared" si="5"/>
        <v>0</v>
      </c>
      <c r="S154" s="199">
        <f t="shared" si="6"/>
        <v>0</v>
      </c>
      <c r="T154" s="198">
        <f t="shared" si="7"/>
        <v>0</v>
      </c>
      <c r="U154" s="198"/>
      <c r="V154" s="198"/>
      <c r="W154" s="198">
        <f t="shared" si="8"/>
        <v>0</v>
      </c>
      <c r="X154" s="200"/>
    </row>
    <row r="155">
      <c r="A155" s="135"/>
      <c r="B155" s="135"/>
      <c r="C155" s="135"/>
      <c r="D155" s="195"/>
      <c r="E155" s="135" t="str">
        <f>IFERROR(VLOOKUP(C155,'Công T5'!$C$7:$F$89,4,0),"")</f>
        <v/>
      </c>
      <c r="F155" s="137" t="str">
        <f>IFERROR(__xludf.DUMMYFUNCTION("INDEX(FILTER('Công T5'!$B$8:$C$89,'Công T5'!$C$8:$C$89=C155),1,1)"),"")</f>
        <v/>
      </c>
      <c r="G155" s="138" t="str">
        <f>IFERROR(__xludf.DUMMYFUNCTION("IFERROR(INDEX(FILTER('Vân tay'!$A$5:$O270,'Vân tay'!$C$5:$C270=F155,'Vân tay'!$B$5:$B270=D155),1,10),"""")"),"")</f>
        <v/>
      </c>
      <c r="H155" s="138" t="str">
        <f>IFERROR(__xludf.DUMMYFUNCTION("IFERROR(INDEX(FILTER('Vân tay'!$A$5:$O270,'Vân tay'!$C$5:$C270=F155,'Vân tay'!$B$5:$B270=D155),1,11),"""")"),"")</f>
        <v/>
      </c>
      <c r="I155" s="138" t="str">
        <f>IFERROR(__xludf.DUMMYFUNCTION("IFERROR(INDEX(FILTER('Vân tay'!$A$5:$O270,'Vân tay'!$C$5:$C270=F155,'Vân tay'!$B$5:$B270=D155),1,14),"""")"),"")</f>
        <v/>
      </c>
      <c r="J155" s="138" t="str">
        <f>IFERROR(__xludf.DUMMYFUNCTION("IFERROR(INDEX(FILTER('Vân tay'!$A$5:$O270,'Vân tay'!$C$5:$C270=F155,'Vân tay'!$B$5:$B270=D155),1,15),"""")"),"")</f>
        <v/>
      </c>
      <c r="K155" s="196" t="str">
        <f t="shared" si="1"/>
        <v/>
      </c>
      <c r="L155" s="196" t="str">
        <f t="shared" si="2"/>
        <v/>
      </c>
      <c r="M155" s="197" t="str">
        <f t="shared" si="9"/>
        <v/>
      </c>
      <c r="N155" s="198" t="str">
        <f t="shared" si="3"/>
        <v/>
      </c>
      <c r="O155" s="198" t="str">
        <f t="shared" si="10"/>
        <v/>
      </c>
      <c r="P155" s="198"/>
      <c r="Q155" s="198">
        <f t="shared" si="4"/>
        <v>0</v>
      </c>
      <c r="R155" s="198">
        <f t="shared" si="5"/>
        <v>0</v>
      </c>
      <c r="S155" s="199">
        <f t="shared" si="6"/>
        <v>0</v>
      </c>
      <c r="T155" s="198">
        <f t="shared" si="7"/>
        <v>0</v>
      </c>
      <c r="U155" s="198"/>
      <c r="V155" s="198"/>
      <c r="W155" s="198">
        <f t="shared" si="8"/>
        <v>0</v>
      </c>
      <c r="X155" s="200"/>
    </row>
    <row r="156">
      <c r="A156" s="135"/>
      <c r="B156" s="135"/>
      <c r="C156" s="135"/>
      <c r="D156" s="195"/>
      <c r="E156" s="135" t="str">
        <f>IFERROR(VLOOKUP(C156,'Công T5'!$C$7:$F$89,4,0),"")</f>
        <v/>
      </c>
      <c r="F156" s="137" t="str">
        <f>IFERROR(__xludf.DUMMYFUNCTION("INDEX(FILTER('Công T5'!$B$8:$C$89,'Công T5'!$C$8:$C$89=C156),1,1)"),"")</f>
        <v/>
      </c>
      <c r="G156" s="138" t="str">
        <f>IFERROR(__xludf.DUMMYFUNCTION("IFERROR(INDEX(FILTER('Vân tay'!$A$5:$O270,'Vân tay'!$C$5:$C270=F156,'Vân tay'!$B$5:$B270=D156),1,10),"""")"),"")</f>
        <v/>
      </c>
      <c r="H156" s="138" t="str">
        <f>IFERROR(__xludf.DUMMYFUNCTION("IFERROR(INDEX(FILTER('Vân tay'!$A$5:$O270,'Vân tay'!$C$5:$C270=F156,'Vân tay'!$B$5:$B270=D156),1,11),"""")"),"")</f>
        <v/>
      </c>
      <c r="I156" s="138" t="str">
        <f>IFERROR(__xludf.DUMMYFUNCTION("IFERROR(INDEX(FILTER('Vân tay'!$A$5:$O270,'Vân tay'!$C$5:$C270=F156,'Vân tay'!$B$5:$B270=D156),1,14),"""")"),"")</f>
        <v/>
      </c>
      <c r="J156" s="138" t="str">
        <f>IFERROR(__xludf.DUMMYFUNCTION("IFERROR(INDEX(FILTER('Vân tay'!$A$5:$O270,'Vân tay'!$C$5:$C270=F156,'Vân tay'!$B$5:$B270=D156),1,15),"""")"),"")</f>
        <v/>
      </c>
      <c r="K156" s="196" t="str">
        <f t="shared" si="1"/>
        <v/>
      </c>
      <c r="L156" s="196" t="str">
        <f t="shared" si="2"/>
        <v/>
      </c>
      <c r="M156" s="197" t="str">
        <f t="shared" si="9"/>
        <v/>
      </c>
      <c r="N156" s="198" t="str">
        <f t="shared" si="3"/>
        <v/>
      </c>
      <c r="O156" s="198" t="str">
        <f t="shared" si="10"/>
        <v/>
      </c>
      <c r="P156" s="198"/>
      <c r="Q156" s="198">
        <f t="shared" si="4"/>
        <v>0</v>
      </c>
      <c r="R156" s="198">
        <f t="shared" si="5"/>
        <v>0</v>
      </c>
      <c r="S156" s="199">
        <f t="shared" si="6"/>
        <v>0</v>
      </c>
      <c r="T156" s="198">
        <f t="shared" si="7"/>
        <v>0</v>
      </c>
      <c r="U156" s="198"/>
      <c r="V156" s="198"/>
      <c r="W156" s="198">
        <f t="shared" si="8"/>
        <v>0</v>
      </c>
      <c r="X156" s="200"/>
    </row>
    <row r="157">
      <c r="A157" s="135"/>
      <c r="B157" s="135"/>
      <c r="C157" s="135"/>
      <c r="D157" s="195"/>
      <c r="E157" s="135" t="str">
        <f>IFERROR(VLOOKUP(C157,'Công T5'!$C$7:$F$89,4,0),"")</f>
        <v/>
      </c>
      <c r="F157" s="137" t="str">
        <f>IFERROR(__xludf.DUMMYFUNCTION("INDEX(FILTER('Công T5'!$B$8:$C$89,'Công T5'!$C$8:$C$89=C157),1,1)"),"")</f>
        <v/>
      </c>
      <c r="G157" s="138" t="str">
        <f>IFERROR(__xludf.DUMMYFUNCTION("IFERROR(INDEX(FILTER('Vân tay'!$A$5:$O270,'Vân tay'!$C$5:$C270=F157,'Vân tay'!$B$5:$B270=D157),1,10),"""")"),"")</f>
        <v/>
      </c>
      <c r="H157" s="138" t="str">
        <f>IFERROR(__xludf.DUMMYFUNCTION("IFERROR(INDEX(FILTER('Vân tay'!$A$5:$O270,'Vân tay'!$C$5:$C270=F157,'Vân tay'!$B$5:$B270=D157),1,11),"""")"),"")</f>
        <v/>
      </c>
      <c r="I157" s="138" t="str">
        <f>IFERROR(__xludf.DUMMYFUNCTION("IFERROR(INDEX(FILTER('Vân tay'!$A$5:$O270,'Vân tay'!$C$5:$C270=F157,'Vân tay'!$B$5:$B270=D157),1,14),"""")"),"")</f>
        <v/>
      </c>
      <c r="J157" s="138" t="str">
        <f>IFERROR(__xludf.DUMMYFUNCTION("IFERROR(INDEX(FILTER('Vân tay'!$A$5:$O270,'Vân tay'!$C$5:$C270=F157,'Vân tay'!$B$5:$B270=D157),1,15),"""")"),"")</f>
        <v/>
      </c>
      <c r="K157" s="196" t="str">
        <f t="shared" si="1"/>
        <v/>
      </c>
      <c r="L157" s="196" t="str">
        <f t="shared" si="2"/>
        <v/>
      </c>
      <c r="M157" s="197" t="str">
        <f t="shared" si="9"/>
        <v/>
      </c>
      <c r="N157" s="198" t="str">
        <f t="shared" si="3"/>
        <v/>
      </c>
      <c r="O157" s="198" t="str">
        <f t="shared" si="10"/>
        <v/>
      </c>
      <c r="P157" s="198"/>
      <c r="Q157" s="198">
        <f t="shared" si="4"/>
        <v>0</v>
      </c>
      <c r="R157" s="198">
        <f t="shared" si="5"/>
        <v>0</v>
      </c>
      <c r="S157" s="199">
        <f t="shared" si="6"/>
        <v>0</v>
      </c>
      <c r="T157" s="198">
        <f t="shared" si="7"/>
        <v>0</v>
      </c>
      <c r="U157" s="198"/>
      <c r="V157" s="198"/>
      <c r="W157" s="198">
        <f t="shared" si="8"/>
        <v>0</v>
      </c>
      <c r="X157" s="200"/>
    </row>
    <row r="158">
      <c r="A158" s="135"/>
      <c r="B158" s="135"/>
      <c r="C158" s="135"/>
      <c r="D158" s="195"/>
      <c r="E158" s="135" t="str">
        <f>IFERROR(VLOOKUP(C158,'Công T5'!$C$7:$F$89,4,0),"")</f>
        <v/>
      </c>
      <c r="F158" s="137" t="str">
        <f>IFERROR(__xludf.DUMMYFUNCTION("INDEX(FILTER('Công T5'!$B$8:$C$89,'Công T5'!$C$8:$C$89=C158),1,1)"),"")</f>
        <v/>
      </c>
      <c r="G158" s="138" t="str">
        <f>IFERROR(__xludf.DUMMYFUNCTION("IFERROR(INDEX(FILTER('Vân tay'!$A$5:$O270,'Vân tay'!$C$5:$C270=F158,'Vân tay'!$B$5:$B270=D158),1,10),"""")"),"")</f>
        <v/>
      </c>
      <c r="H158" s="138" t="str">
        <f>IFERROR(__xludf.DUMMYFUNCTION("IFERROR(INDEX(FILTER('Vân tay'!$A$5:$O270,'Vân tay'!$C$5:$C270=F158,'Vân tay'!$B$5:$B270=D158),1,11),"""")"),"")</f>
        <v/>
      </c>
      <c r="I158" s="138" t="str">
        <f>IFERROR(__xludf.DUMMYFUNCTION("IFERROR(INDEX(FILTER('Vân tay'!$A$5:$O270,'Vân tay'!$C$5:$C270=F158,'Vân tay'!$B$5:$B270=D158),1,14),"""")"),"")</f>
        <v/>
      </c>
      <c r="J158" s="138" t="str">
        <f>IFERROR(__xludf.DUMMYFUNCTION("IFERROR(INDEX(FILTER('Vân tay'!$A$5:$O270,'Vân tay'!$C$5:$C270=F158,'Vân tay'!$B$5:$B270=D158),1,15),"""")"),"")</f>
        <v/>
      </c>
      <c r="K158" s="196" t="str">
        <f t="shared" si="1"/>
        <v/>
      </c>
      <c r="L158" s="196" t="str">
        <f t="shared" si="2"/>
        <v/>
      </c>
      <c r="M158" s="197" t="str">
        <f t="shared" si="9"/>
        <v/>
      </c>
      <c r="N158" s="198" t="str">
        <f t="shared" si="3"/>
        <v/>
      </c>
      <c r="O158" s="198" t="str">
        <f t="shared" si="10"/>
        <v/>
      </c>
      <c r="P158" s="198"/>
      <c r="Q158" s="198">
        <f t="shared" si="4"/>
        <v>0</v>
      </c>
      <c r="R158" s="198">
        <f t="shared" si="5"/>
        <v>0</v>
      </c>
      <c r="S158" s="199">
        <f t="shared" si="6"/>
        <v>0</v>
      </c>
      <c r="T158" s="198">
        <f t="shared" si="7"/>
        <v>0</v>
      </c>
      <c r="U158" s="198"/>
      <c r="V158" s="198"/>
      <c r="W158" s="198">
        <f t="shared" si="8"/>
        <v>0</v>
      </c>
      <c r="X158" s="200"/>
    </row>
    <row r="159">
      <c r="A159" s="135"/>
      <c r="B159" s="135"/>
      <c r="C159" s="135"/>
      <c r="D159" s="195"/>
      <c r="E159" s="135" t="str">
        <f>IFERROR(VLOOKUP(C159,'Công T5'!$C$7:$F$89,4,0),"")</f>
        <v/>
      </c>
      <c r="F159" s="137" t="str">
        <f>IFERROR(__xludf.DUMMYFUNCTION("INDEX(FILTER('Công T5'!$B$8:$C$89,'Công T5'!$C$8:$C$89=C159),1,1)"),"")</f>
        <v/>
      </c>
      <c r="G159" s="138" t="str">
        <f>IFERROR(__xludf.DUMMYFUNCTION("IFERROR(INDEX(FILTER('Vân tay'!$A$5:$O270,'Vân tay'!$C$5:$C270=F159,'Vân tay'!$B$5:$B270=D159),1,10),"""")"),"")</f>
        <v/>
      </c>
      <c r="H159" s="138" t="str">
        <f>IFERROR(__xludf.DUMMYFUNCTION("IFERROR(INDEX(FILTER('Vân tay'!$A$5:$O270,'Vân tay'!$C$5:$C270=F159,'Vân tay'!$B$5:$B270=D159),1,11),"""")"),"")</f>
        <v/>
      </c>
      <c r="I159" s="138" t="str">
        <f>IFERROR(__xludf.DUMMYFUNCTION("IFERROR(INDEX(FILTER('Vân tay'!$A$5:$O270,'Vân tay'!$C$5:$C270=F159,'Vân tay'!$B$5:$B270=D159),1,14),"""")"),"")</f>
        <v/>
      </c>
      <c r="J159" s="138" t="str">
        <f>IFERROR(__xludf.DUMMYFUNCTION("IFERROR(INDEX(FILTER('Vân tay'!$A$5:$O270,'Vân tay'!$C$5:$C270=F159,'Vân tay'!$B$5:$B270=D159),1,15),"""")"),"")</f>
        <v/>
      </c>
      <c r="K159" s="196" t="str">
        <f t="shared" si="1"/>
        <v/>
      </c>
      <c r="L159" s="196" t="str">
        <f t="shared" si="2"/>
        <v/>
      </c>
      <c r="M159" s="197" t="str">
        <f t="shared" si="9"/>
        <v/>
      </c>
      <c r="N159" s="198" t="str">
        <f t="shared" si="3"/>
        <v/>
      </c>
      <c r="O159" s="198" t="str">
        <f t="shared" si="10"/>
        <v/>
      </c>
      <c r="P159" s="198"/>
      <c r="Q159" s="198">
        <f t="shared" si="4"/>
        <v>0</v>
      </c>
      <c r="R159" s="198">
        <f t="shared" si="5"/>
        <v>0</v>
      </c>
      <c r="S159" s="199">
        <f t="shared" si="6"/>
        <v>0</v>
      </c>
      <c r="T159" s="198">
        <f t="shared" si="7"/>
        <v>0</v>
      </c>
      <c r="U159" s="198"/>
      <c r="V159" s="198"/>
      <c r="W159" s="198">
        <f t="shared" si="8"/>
        <v>0</v>
      </c>
      <c r="X159" s="200"/>
    </row>
    <row r="160">
      <c r="A160" s="135"/>
      <c r="B160" s="135"/>
      <c r="C160" s="135"/>
      <c r="D160" s="195"/>
      <c r="E160" s="135" t="str">
        <f>IFERROR(VLOOKUP(C160,'Công T5'!$C$7:$F$89,4,0),"")</f>
        <v/>
      </c>
      <c r="F160" s="137" t="str">
        <f>IFERROR(__xludf.DUMMYFUNCTION("INDEX(FILTER('Công T5'!$B$8:$C$89,'Công T5'!$C$8:$C$89=C160),1,1)"),"")</f>
        <v/>
      </c>
      <c r="G160" s="138" t="str">
        <f>IFERROR(__xludf.DUMMYFUNCTION("IFERROR(INDEX(FILTER('Vân tay'!$A$5:$O270,'Vân tay'!$C$5:$C270=F160,'Vân tay'!$B$5:$B270=D160),1,10),"""")"),"")</f>
        <v/>
      </c>
      <c r="H160" s="138" t="str">
        <f>IFERROR(__xludf.DUMMYFUNCTION("IFERROR(INDEX(FILTER('Vân tay'!$A$5:$O270,'Vân tay'!$C$5:$C270=F160,'Vân tay'!$B$5:$B270=D160),1,11),"""")"),"")</f>
        <v/>
      </c>
      <c r="I160" s="138" t="str">
        <f>IFERROR(__xludf.DUMMYFUNCTION("IFERROR(INDEX(FILTER('Vân tay'!$A$5:$O270,'Vân tay'!$C$5:$C270=F160,'Vân tay'!$B$5:$B270=D160),1,14),"""")"),"")</f>
        <v/>
      </c>
      <c r="J160" s="138" t="str">
        <f>IFERROR(__xludf.DUMMYFUNCTION("IFERROR(INDEX(FILTER('Vân tay'!$A$5:$O270,'Vân tay'!$C$5:$C270=F160,'Vân tay'!$B$5:$B270=D160),1,15),"""")"),"")</f>
        <v/>
      </c>
      <c r="K160" s="196" t="str">
        <f t="shared" si="1"/>
        <v/>
      </c>
      <c r="L160" s="196" t="str">
        <f t="shared" si="2"/>
        <v/>
      </c>
      <c r="M160" s="197" t="str">
        <f t="shared" si="9"/>
        <v/>
      </c>
      <c r="N160" s="198" t="str">
        <f t="shared" si="3"/>
        <v/>
      </c>
      <c r="O160" s="198" t="str">
        <f t="shared" si="10"/>
        <v/>
      </c>
      <c r="P160" s="198"/>
      <c r="Q160" s="198">
        <f t="shared" si="4"/>
        <v>0</v>
      </c>
      <c r="R160" s="198">
        <f t="shared" si="5"/>
        <v>0</v>
      </c>
      <c r="S160" s="199">
        <f t="shared" si="6"/>
        <v>0</v>
      </c>
      <c r="T160" s="198">
        <f t="shared" si="7"/>
        <v>0</v>
      </c>
      <c r="U160" s="198"/>
      <c r="V160" s="198"/>
      <c r="W160" s="198">
        <f t="shared" si="8"/>
        <v>0</v>
      </c>
      <c r="X160" s="200"/>
    </row>
    <row r="161">
      <c r="A161" s="135"/>
      <c r="B161" s="135"/>
      <c r="C161" s="135"/>
      <c r="D161" s="195"/>
      <c r="E161" s="135" t="str">
        <f>IFERROR(VLOOKUP(C161,'Công T5'!$C$7:$F$89,4,0),"")</f>
        <v/>
      </c>
      <c r="F161" s="137" t="str">
        <f>IFERROR(__xludf.DUMMYFUNCTION("INDEX(FILTER('Công T5'!$B$8:$C$89,'Công T5'!$C$8:$C$89=C161),1,1)"),"")</f>
        <v/>
      </c>
      <c r="G161" s="138" t="str">
        <f>IFERROR(__xludf.DUMMYFUNCTION("IFERROR(INDEX(FILTER('Vân tay'!$A$5:$O270,'Vân tay'!$C$5:$C270=F161,'Vân tay'!$B$5:$B270=D161),1,10),"""")"),"")</f>
        <v/>
      </c>
      <c r="H161" s="138" t="str">
        <f>IFERROR(__xludf.DUMMYFUNCTION("IFERROR(INDEX(FILTER('Vân tay'!$A$5:$O270,'Vân tay'!$C$5:$C270=F161,'Vân tay'!$B$5:$B270=D161),1,11),"""")"),"")</f>
        <v/>
      </c>
      <c r="I161" s="138" t="str">
        <f>IFERROR(__xludf.DUMMYFUNCTION("IFERROR(INDEX(FILTER('Vân tay'!$A$5:$O270,'Vân tay'!$C$5:$C270=F161,'Vân tay'!$B$5:$B270=D161),1,14),"""")"),"")</f>
        <v/>
      </c>
      <c r="J161" s="138" t="str">
        <f>IFERROR(__xludf.DUMMYFUNCTION("IFERROR(INDEX(FILTER('Vân tay'!$A$5:$O270,'Vân tay'!$C$5:$C270=F161,'Vân tay'!$B$5:$B270=D161),1,15),"""")"),"")</f>
        <v/>
      </c>
      <c r="K161" s="196" t="str">
        <f t="shared" si="1"/>
        <v/>
      </c>
      <c r="L161" s="196" t="str">
        <f t="shared" si="2"/>
        <v/>
      </c>
      <c r="M161" s="197" t="str">
        <f t="shared" si="9"/>
        <v/>
      </c>
      <c r="N161" s="198" t="str">
        <f t="shared" si="3"/>
        <v/>
      </c>
      <c r="O161" s="198" t="str">
        <f t="shared" si="10"/>
        <v/>
      </c>
      <c r="P161" s="198"/>
      <c r="Q161" s="198">
        <f t="shared" si="4"/>
        <v>0</v>
      </c>
      <c r="R161" s="198">
        <f t="shared" si="5"/>
        <v>0</v>
      </c>
      <c r="S161" s="199">
        <f t="shared" si="6"/>
        <v>0</v>
      </c>
      <c r="T161" s="198">
        <f t="shared" si="7"/>
        <v>0</v>
      </c>
      <c r="U161" s="198"/>
      <c r="V161" s="198"/>
      <c r="W161" s="198">
        <f t="shared" si="8"/>
        <v>0</v>
      </c>
      <c r="X161" s="200"/>
    </row>
    <row r="162">
      <c r="A162" s="135"/>
      <c r="B162" s="135"/>
      <c r="C162" s="135"/>
      <c r="D162" s="195"/>
      <c r="E162" s="135" t="str">
        <f>IFERROR(VLOOKUP(C162,'Công T5'!$C$7:$F$89,4,0),"")</f>
        <v/>
      </c>
      <c r="F162" s="137" t="str">
        <f>IFERROR(__xludf.DUMMYFUNCTION("INDEX(FILTER('Công T5'!$B$8:$C$89,'Công T5'!$C$8:$C$89=C162),1,1)"),"")</f>
        <v/>
      </c>
      <c r="G162" s="138" t="str">
        <f>IFERROR(__xludf.DUMMYFUNCTION("IFERROR(INDEX(FILTER('Vân tay'!$A$5:$O270,'Vân tay'!$C$5:$C270=F162,'Vân tay'!$B$5:$B270=D162),1,10),"""")"),"")</f>
        <v/>
      </c>
      <c r="H162" s="138" t="str">
        <f>IFERROR(__xludf.DUMMYFUNCTION("IFERROR(INDEX(FILTER('Vân tay'!$A$5:$O270,'Vân tay'!$C$5:$C270=F162,'Vân tay'!$B$5:$B270=D162),1,11),"""")"),"")</f>
        <v/>
      </c>
      <c r="I162" s="138" t="str">
        <f>IFERROR(__xludf.DUMMYFUNCTION("IFERROR(INDEX(FILTER('Vân tay'!$A$5:$O270,'Vân tay'!$C$5:$C270=F162,'Vân tay'!$B$5:$B270=D162),1,14),"""")"),"")</f>
        <v/>
      </c>
      <c r="J162" s="138" t="str">
        <f>IFERROR(__xludf.DUMMYFUNCTION("IFERROR(INDEX(FILTER('Vân tay'!$A$5:$O270,'Vân tay'!$C$5:$C270=F162,'Vân tay'!$B$5:$B270=D162),1,15),"""")"),"")</f>
        <v/>
      </c>
      <c r="K162" s="196" t="str">
        <f t="shared" si="1"/>
        <v/>
      </c>
      <c r="L162" s="196" t="str">
        <f t="shared" si="2"/>
        <v/>
      </c>
      <c r="M162" s="197" t="str">
        <f t="shared" si="9"/>
        <v/>
      </c>
      <c r="N162" s="198" t="str">
        <f t="shared" si="3"/>
        <v/>
      </c>
      <c r="O162" s="198" t="str">
        <f t="shared" si="10"/>
        <v/>
      </c>
      <c r="P162" s="198"/>
      <c r="Q162" s="198">
        <f t="shared" si="4"/>
        <v>0</v>
      </c>
      <c r="R162" s="198">
        <f t="shared" si="5"/>
        <v>0</v>
      </c>
      <c r="S162" s="199">
        <f t="shared" si="6"/>
        <v>0</v>
      </c>
      <c r="T162" s="198">
        <f t="shared" si="7"/>
        <v>0</v>
      </c>
      <c r="U162" s="198"/>
      <c r="V162" s="198"/>
      <c r="W162" s="198">
        <f t="shared" si="8"/>
        <v>0</v>
      </c>
      <c r="X162" s="200"/>
    </row>
    <row r="163">
      <c r="A163" s="135"/>
      <c r="B163" s="135"/>
      <c r="C163" s="135"/>
      <c r="D163" s="195"/>
      <c r="E163" s="135" t="str">
        <f>IFERROR(VLOOKUP(C163,'Công T5'!$C$7:$F$89,4,0),"")</f>
        <v/>
      </c>
      <c r="F163" s="137" t="str">
        <f>IFERROR(__xludf.DUMMYFUNCTION("INDEX(FILTER('Công T5'!$B$8:$C$89,'Công T5'!$C$8:$C$89=C163),1,1)"),"")</f>
        <v/>
      </c>
      <c r="G163" s="138" t="str">
        <f>IFERROR(__xludf.DUMMYFUNCTION("IFERROR(INDEX(FILTER('Vân tay'!$A$5:$O270,'Vân tay'!$C$5:$C270=F163,'Vân tay'!$B$5:$B270=D163),1,10),"""")"),"")</f>
        <v/>
      </c>
      <c r="H163" s="138" t="str">
        <f>IFERROR(__xludf.DUMMYFUNCTION("IFERROR(INDEX(FILTER('Vân tay'!$A$5:$O270,'Vân tay'!$C$5:$C270=F163,'Vân tay'!$B$5:$B270=D163),1,11),"""")"),"")</f>
        <v/>
      </c>
      <c r="I163" s="138" t="str">
        <f>IFERROR(__xludf.DUMMYFUNCTION("IFERROR(INDEX(FILTER('Vân tay'!$A$5:$O270,'Vân tay'!$C$5:$C270=F163,'Vân tay'!$B$5:$B270=D163),1,14),"""")"),"")</f>
        <v/>
      </c>
      <c r="J163" s="138" t="str">
        <f>IFERROR(__xludf.DUMMYFUNCTION("IFERROR(INDEX(FILTER('Vân tay'!$A$5:$O270,'Vân tay'!$C$5:$C270=F163,'Vân tay'!$B$5:$B270=D163),1,15),"""")"),"")</f>
        <v/>
      </c>
      <c r="K163" s="196" t="str">
        <f t="shared" si="1"/>
        <v/>
      </c>
      <c r="L163" s="196" t="str">
        <f t="shared" si="2"/>
        <v/>
      </c>
      <c r="M163" s="197" t="str">
        <f t="shared" si="9"/>
        <v/>
      </c>
      <c r="N163" s="198" t="str">
        <f t="shared" si="3"/>
        <v/>
      </c>
      <c r="O163" s="198" t="str">
        <f t="shared" si="10"/>
        <v/>
      </c>
      <c r="P163" s="198"/>
      <c r="Q163" s="198">
        <f t="shared" si="4"/>
        <v>0</v>
      </c>
      <c r="R163" s="198">
        <f t="shared" si="5"/>
        <v>0</v>
      </c>
      <c r="S163" s="199">
        <f t="shared" si="6"/>
        <v>0</v>
      </c>
      <c r="T163" s="198">
        <f t="shared" si="7"/>
        <v>0</v>
      </c>
      <c r="U163" s="198"/>
      <c r="V163" s="198"/>
      <c r="W163" s="198">
        <f t="shared" si="8"/>
        <v>0</v>
      </c>
      <c r="X163" s="200"/>
    </row>
    <row r="164">
      <c r="A164" s="135"/>
      <c r="B164" s="135"/>
      <c r="C164" s="135"/>
      <c r="D164" s="195"/>
      <c r="E164" s="135" t="str">
        <f>IFERROR(VLOOKUP(C164,'Công T5'!$C$7:$F$89,4,0),"")</f>
        <v/>
      </c>
      <c r="F164" s="137" t="str">
        <f>IFERROR(__xludf.DUMMYFUNCTION("INDEX(FILTER('Công T5'!$B$8:$C$89,'Công T5'!$C$8:$C$89=C164),1,1)"),"")</f>
        <v/>
      </c>
      <c r="G164" s="138" t="str">
        <f>IFERROR(__xludf.DUMMYFUNCTION("IFERROR(INDEX(FILTER('Vân tay'!$A$5:$O270,'Vân tay'!$C$5:$C270=F164,'Vân tay'!$B$5:$B270=D164),1,10),"""")"),"")</f>
        <v/>
      </c>
      <c r="H164" s="138" t="str">
        <f>IFERROR(__xludf.DUMMYFUNCTION("IFERROR(INDEX(FILTER('Vân tay'!$A$5:$O270,'Vân tay'!$C$5:$C270=F164,'Vân tay'!$B$5:$B270=D164),1,11),"""")"),"")</f>
        <v/>
      </c>
      <c r="I164" s="138" t="str">
        <f>IFERROR(__xludf.DUMMYFUNCTION("IFERROR(INDEX(FILTER('Vân tay'!$A$5:$O270,'Vân tay'!$C$5:$C270=F164,'Vân tay'!$B$5:$B270=D164),1,14),"""")"),"")</f>
        <v/>
      </c>
      <c r="J164" s="138" t="str">
        <f>IFERROR(__xludf.DUMMYFUNCTION("IFERROR(INDEX(FILTER('Vân tay'!$A$5:$O270,'Vân tay'!$C$5:$C270=F164,'Vân tay'!$B$5:$B270=D164),1,15),"""")"),"")</f>
        <v/>
      </c>
      <c r="K164" s="196" t="str">
        <f t="shared" si="1"/>
        <v/>
      </c>
      <c r="L164" s="196" t="str">
        <f t="shared" si="2"/>
        <v/>
      </c>
      <c r="M164" s="197" t="str">
        <f t="shared" si="9"/>
        <v/>
      </c>
      <c r="N164" s="198" t="str">
        <f t="shared" si="3"/>
        <v/>
      </c>
      <c r="O164" s="198" t="str">
        <f t="shared" si="10"/>
        <v/>
      </c>
      <c r="P164" s="198"/>
      <c r="Q164" s="198">
        <f t="shared" si="4"/>
        <v>0</v>
      </c>
      <c r="R164" s="198">
        <f t="shared" si="5"/>
        <v>0</v>
      </c>
      <c r="S164" s="199">
        <f t="shared" si="6"/>
        <v>0</v>
      </c>
      <c r="T164" s="198">
        <f t="shared" si="7"/>
        <v>0</v>
      </c>
      <c r="U164" s="198"/>
      <c r="V164" s="198"/>
      <c r="W164" s="198">
        <f t="shared" si="8"/>
        <v>0</v>
      </c>
      <c r="X164" s="200"/>
    </row>
    <row r="165">
      <c r="A165" s="135"/>
      <c r="B165" s="135"/>
      <c r="C165" s="135"/>
      <c r="D165" s="195"/>
      <c r="E165" s="135" t="str">
        <f>IFERROR(VLOOKUP(C165,'Công T5'!$C$7:$F$89,4,0),"")</f>
        <v/>
      </c>
      <c r="F165" s="137" t="str">
        <f>IFERROR(__xludf.DUMMYFUNCTION("INDEX(FILTER('Công T5'!$B$8:$C$89,'Công T5'!$C$8:$C$89=C165),1,1)"),"")</f>
        <v/>
      </c>
      <c r="G165" s="138" t="str">
        <f>IFERROR(__xludf.DUMMYFUNCTION("IFERROR(INDEX(FILTER('Vân tay'!$A$5:$O270,'Vân tay'!$C$5:$C270=F165,'Vân tay'!$B$5:$B270=D165),1,10),"""")"),"")</f>
        <v/>
      </c>
      <c r="H165" s="138" t="str">
        <f>IFERROR(__xludf.DUMMYFUNCTION("IFERROR(INDEX(FILTER('Vân tay'!$A$5:$O270,'Vân tay'!$C$5:$C270=F165,'Vân tay'!$B$5:$B270=D165),1,11),"""")"),"")</f>
        <v/>
      </c>
      <c r="I165" s="138" t="str">
        <f>IFERROR(__xludf.DUMMYFUNCTION("IFERROR(INDEX(FILTER('Vân tay'!$A$5:$O270,'Vân tay'!$C$5:$C270=F165,'Vân tay'!$B$5:$B270=D165),1,14),"""")"),"")</f>
        <v/>
      </c>
      <c r="J165" s="138" t="str">
        <f>IFERROR(__xludf.DUMMYFUNCTION("IFERROR(INDEX(FILTER('Vân tay'!$A$5:$O270,'Vân tay'!$C$5:$C270=F165,'Vân tay'!$B$5:$B270=D165),1,15),"""")"),"")</f>
        <v/>
      </c>
      <c r="K165" s="196" t="str">
        <f t="shared" si="1"/>
        <v/>
      </c>
      <c r="L165" s="196" t="str">
        <f t="shared" si="2"/>
        <v/>
      </c>
      <c r="M165" s="197" t="str">
        <f t="shared" si="9"/>
        <v/>
      </c>
      <c r="N165" s="198" t="str">
        <f t="shared" si="3"/>
        <v/>
      </c>
      <c r="O165" s="198" t="str">
        <f t="shared" si="10"/>
        <v/>
      </c>
      <c r="P165" s="198"/>
      <c r="Q165" s="198">
        <f t="shared" si="4"/>
        <v>0</v>
      </c>
      <c r="R165" s="198">
        <f t="shared" si="5"/>
        <v>0</v>
      </c>
      <c r="S165" s="199">
        <f t="shared" si="6"/>
        <v>0</v>
      </c>
      <c r="T165" s="198">
        <f t="shared" si="7"/>
        <v>0</v>
      </c>
      <c r="U165" s="198"/>
      <c r="V165" s="198"/>
      <c r="W165" s="198">
        <f t="shared" si="8"/>
        <v>0</v>
      </c>
      <c r="X165" s="200"/>
    </row>
    <row r="166">
      <c r="A166" s="135"/>
      <c r="B166" s="135"/>
      <c r="C166" s="135"/>
      <c r="D166" s="195"/>
      <c r="E166" s="135" t="str">
        <f>IFERROR(VLOOKUP(C166,'Công T5'!$C$7:$F$89,4,0),"")</f>
        <v/>
      </c>
      <c r="F166" s="137" t="str">
        <f>IFERROR(__xludf.DUMMYFUNCTION("INDEX(FILTER('Công T5'!$B$8:$C$89,'Công T5'!$C$8:$C$89=C166),1,1)"),"")</f>
        <v/>
      </c>
      <c r="G166" s="138" t="str">
        <f>IFERROR(__xludf.DUMMYFUNCTION("IFERROR(INDEX(FILTER('Vân tay'!$A$5:$O270,'Vân tay'!$C$5:$C270=F166,'Vân tay'!$B$5:$B270=D166),1,10),"""")"),"")</f>
        <v/>
      </c>
      <c r="H166" s="138" t="str">
        <f>IFERROR(__xludf.DUMMYFUNCTION("IFERROR(INDEX(FILTER('Vân tay'!$A$5:$O270,'Vân tay'!$C$5:$C270=F166,'Vân tay'!$B$5:$B270=D166),1,11),"""")"),"")</f>
        <v/>
      </c>
      <c r="I166" s="138" t="str">
        <f>IFERROR(__xludf.DUMMYFUNCTION("IFERROR(INDEX(FILTER('Vân tay'!$A$5:$O270,'Vân tay'!$C$5:$C270=F166,'Vân tay'!$B$5:$B270=D166),1,14),"""")"),"")</f>
        <v/>
      </c>
      <c r="J166" s="138" t="str">
        <f>IFERROR(__xludf.DUMMYFUNCTION("IFERROR(INDEX(FILTER('Vân tay'!$A$5:$O270,'Vân tay'!$C$5:$C270=F166,'Vân tay'!$B$5:$B270=D166),1,15),"""")"),"")</f>
        <v/>
      </c>
      <c r="K166" s="196" t="str">
        <f t="shared" si="1"/>
        <v/>
      </c>
      <c r="L166" s="196" t="str">
        <f t="shared" si="2"/>
        <v/>
      </c>
      <c r="M166" s="197" t="str">
        <f t="shared" si="9"/>
        <v/>
      </c>
      <c r="N166" s="198" t="str">
        <f t="shared" si="3"/>
        <v/>
      </c>
      <c r="O166" s="198" t="str">
        <f t="shared" si="10"/>
        <v/>
      </c>
      <c r="P166" s="198"/>
      <c r="Q166" s="198">
        <f t="shared" si="4"/>
        <v>0</v>
      </c>
      <c r="R166" s="198">
        <f t="shared" si="5"/>
        <v>0</v>
      </c>
      <c r="S166" s="199">
        <f t="shared" si="6"/>
        <v>0</v>
      </c>
      <c r="T166" s="198">
        <f t="shared" si="7"/>
        <v>0</v>
      </c>
      <c r="U166" s="198"/>
      <c r="V166" s="198"/>
      <c r="W166" s="198">
        <f t="shared" si="8"/>
        <v>0</v>
      </c>
      <c r="X166" s="200"/>
    </row>
    <row r="167">
      <c r="A167" s="135"/>
      <c r="B167" s="135"/>
      <c r="C167" s="135"/>
      <c r="D167" s="195"/>
      <c r="E167" s="135" t="str">
        <f>IFERROR(VLOOKUP(C167,'Công T5'!$C$7:$F$89,4,0),"")</f>
        <v/>
      </c>
      <c r="F167" s="137" t="str">
        <f>IFERROR(__xludf.DUMMYFUNCTION("INDEX(FILTER('Công T5'!$B$8:$C$89,'Công T5'!$C$8:$C$89=C167),1,1)"),"")</f>
        <v/>
      </c>
      <c r="G167" s="138" t="str">
        <f>IFERROR(__xludf.DUMMYFUNCTION("IFERROR(INDEX(FILTER('Vân tay'!$A$5:$O270,'Vân tay'!$C$5:$C270=F167,'Vân tay'!$B$5:$B270=D167),1,10),"""")"),"")</f>
        <v/>
      </c>
      <c r="H167" s="138" t="str">
        <f>IFERROR(__xludf.DUMMYFUNCTION("IFERROR(INDEX(FILTER('Vân tay'!$A$5:$O270,'Vân tay'!$C$5:$C270=F167,'Vân tay'!$B$5:$B270=D167),1,11),"""")"),"")</f>
        <v/>
      </c>
      <c r="I167" s="138" t="str">
        <f>IFERROR(__xludf.DUMMYFUNCTION("IFERROR(INDEX(FILTER('Vân tay'!$A$5:$O270,'Vân tay'!$C$5:$C270=F167,'Vân tay'!$B$5:$B270=D167),1,14),"""")"),"")</f>
        <v/>
      </c>
      <c r="J167" s="138" t="str">
        <f>IFERROR(__xludf.DUMMYFUNCTION("IFERROR(INDEX(FILTER('Vân tay'!$A$5:$O270,'Vân tay'!$C$5:$C270=F167,'Vân tay'!$B$5:$B270=D167),1,15),"""")"),"")</f>
        <v/>
      </c>
      <c r="K167" s="196" t="str">
        <f t="shared" si="1"/>
        <v/>
      </c>
      <c r="L167" s="196" t="str">
        <f t="shared" si="2"/>
        <v/>
      </c>
      <c r="M167" s="197" t="str">
        <f t="shared" si="9"/>
        <v/>
      </c>
      <c r="N167" s="198" t="str">
        <f t="shared" si="3"/>
        <v/>
      </c>
      <c r="O167" s="198" t="str">
        <f t="shared" si="10"/>
        <v/>
      </c>
      <c r="P167" s="198"/>
      <c r="Q167" s="198">
        <f t="shared" si="4"/>
        <v>0</v>
      </c>
      <c r="R167" s="198">
        <f t="shared" si="5"/>
        <v>0</v>
      </c>
      <c r="S167" s="199">
        <f t="shared" si="6"/>
        <v>0</v>
      </c>
      <c r="T167" s="198">
        <f t="shared" si="7"/>
        <v>0</v>
      </c>
      <c r="U167" s="198"/>
      <c r="V167" s="198"/>
      <c r="W167" s="198">
        <f t="shared" si="8"/>
        <v>0</v>
      </c>
      <c r="X167" s="200"/>
    </row>
    <row r="168">
      <c r="A168" s="135"/>
      <c r="B168" s="135"/>
      <c r="C168" s="195"/>
      <c r="D168" s="195"/>
      <c r="E168" s="135" t="str">
        <f>IFERROR(VLOOKUP(C168,'Công T5'!$C$7:$F$89,4,0),"")</f>
        <v/>
      </c>
      <c r="F168" s="137" t="str">
        <f>IFERROR(__xludf.DUMMYFUNCTION("INDEX(FILTER('Công T5'!$B$8:$C$89,'Công T5'!$C$8:$C$89=C168),1,1)"),"")</f>
        <v/>
      </c>
      <c r="G168" s="138" t="str">
        <f>IFERROR(__xludf.DUMMYFUNCTION("IFERROR(INDEX(FILTER('Vân tay'!$A$5:$O270,'Vân tay'!$C$5:$C270=F168,'Vân tay'!$B$5:$B270=D168),1,10),"""")"),"")</f>
        <v/>
      </c>
      <c r="H168" s="138" t="str">
        <f>IFERROR(__xludf.DUMMYFUNCTION("IFERROR(INDEX(FILTER('Vân tay'!$A$5:$O270,'Vân tay'!$C$5:$C270=F168,'Vân tay'!$B$5:$B270=D168),1,11),"""")"),"")</f>
        <v/>
      </c>
      <c r="I168" s="138" t="str">
        <f>IFERROR(__xludf.DUMMYFUNCTION("IFERROR(INDEX(FILTER('Vân tay'!$A$5:$O270,'Vân tay'!$C$5:$C270=F168,'Vân tay'!$B$5:$B270=D168),1,14),"""")"),"")</f>
        <v/>
      </c>
      <c r="J168" s="138" t="str">
        <f>IFERROR(__xludf.DUMMYFUNCTION("IFERROR(INDEX(FILTER('Vân tay'!$A$5:$O270,'Vân tay'!$C$5:$C270=F168,'Vân tay'!$B$5:$B270=D168),1,15),"""")"),"")</f>
        <v/>
      </c>
      <c r="K168" s="196" t="str">
        <f t="shared" si="1"/>
        <v/>
      </c>
      <c r="L168" s="196" t="str">
        <f t="shared" si="2"/>
        <v/>
      </c>
      <c r="M168" s="197" t="str">
        <f t="shared" si="9"/>
        <v/>
      </c>
      <c r="N168" s="198" t="str">
        <f t="shared" si="3"/>
        <v/>
      </c>
      <c r="O168" s="198" t="str">
        <f t="shared" si="10"/>
        <v/>
      </c>
      <c r="P168" s="198"/>
      <c r="Q168" s="198">
        <f t="shared" si="4"/>
        <v>0</v>
      </c>
      <c r="R168" s="198">
        <f t="shared" si="5"/>
        <v>0</v>
      </c>
      <c r="S168" s="199">
        <f t="shared" si="6"/>
        <v>0</v>
      </c>
      <c r="T168" s="198">
        <f t="shared" si="7"/>
        <v>0</v>
      </c>
      <c r="U168" s="198"/>
      <c r="V168" s="198"/>
      <c r="W168" s="198">
        <f t="shared" si="8"/>
        <v>0</v>
      </c>
      <c r="X168" s="200"/>
    </row>
    <row r="169">
      <c r="A169" s="135"/>
      <c r="B169" s="135"/>
      <c r="C169" s="135"/>
      <c r="D169" s="195"/>
      <c r="E169" s="135" t="str">
        <f>IFERROR(VLOOKUP(C169,'Công T5'!$C$7:$F$89,4,0),"")</f>
        <v/>
      </c>
      <c r="F169" s="137" t="str">
        <f>IFERROR(__xludf.DUMMYFUNCTION("INDEX(FILTER('Công T5'!$B$8:$C$89,'Công T5'!$C$8:$C$89=C169),1,1)"),"")</f>
        <v/>
      </c>
      <c r="G169" s="138" t="str">
        <f>IFERROR(__xludf.DUMMYFUNCTION("IFERROR(INDEX(FILTER('Vân tay'!$A$5:$O270,'Vân tay'!$C$5:$C270=F169,'Vân tay'!$B$5:$B270=D169),1,10),"""")"),"")</f>
        <v/>
      </c>
      <c r="H169" s="138" t="str">
        <f>IFERROR(__xludf.DUMMYFUNCTION("IFERROR(INDEX(FILTER('Vân tay'!$A$5:$O270,'Vân tay'!$C$5:$C270=F169,'Vân tay'!$B$5:$B270=D169),1,11),"""")"),"")</f>
        <v/>
      </c>
      <c r="I169" s="138" t="str">
        <f>IFERROR(__xludf.DUMMYFUNCTION("IFERROR(INDEX(FILTER('Vân tay'!$A$5:$O270,'Vân tay'!$C$5:$C270=F169,'Vân tay'!$B$5:$B270=D169),1,14),"""")"),"")</f>
        <v/>
      </c>
      <c r="J169" s="138" t="str">
        <f>IFERROR(__xludf.DUMMYFUNCTION("IFERROR(INDEX(FILTER('Vân tay'!$A$5:$O270,'Vân tay'!$C$5:$C270=F169,'Vân tay'!$B$5:$B270=D169),1,15),"""")"),"")</f>
        <v/>
      </c>
      <c r="K169" s="196" t="str">
        <f t="shared" si="1"/>
        <v/>
      </c>
      <c r="L169" s="196" t="str">
        <f t="shared" si="2"/>
        <v/>
      </c>
      <c r="M169" s="197" t="str">
        <f t="shared" si="9"/>
        <v/>
      </c>
      <c r="N169" s="198" t="str">
        <f t="shared" si="3"/>
        <v/>
      </c>
      <c r="O169" s="198" t="str">
        <f t="shared" si="10"/>
        <v/>
      </c>
      <c r="P169" s="198"/>
      <c r="Q169" s="198">
        <f t="shared" si="4"/>
        <v>0</v>
      </c>
      <c r="R169" s="198">
        <f t="shared" si="5"/>
        <v>0</v>
      </c>
      <c r="S169" s="199">
        <f t="shared" si="6"/>
        <v>0</v>
      </c>
      <c r="T169" s="198">
        <f t="shared" si="7"/>
        <v>0</v>
      </c>
      <c r="U169" s="198"/>
      <c r="V169" s="198"/>
      <c r="W169" s="198">
        <f t="shared" si="8"/>
        <v>0</v>
      </c>
      <c r="X169" s="200"/>
    </row>
    <row r="170">
      <c r="A170" s="135"/>
      <c r="B170" s="135"/>
      <c r="C170" s="135"/>
      <c r="D170" s="195"/>
      <c r="E170" s="135" t="str">
        <f>IFERROR(VLOOKUP(C170,'Công T5'!$C$7:$F$89,4,0),"")</f>
        <v/>
      </c>
      <c r="F170" s="137" t="str">
        <f>IFERROR(__xludf.DUMMYFUNCTION("INDEX(FILTER('Công T5'!$B$8:$C$89,'Công T5'!$C$8:$C$89=C170),1,1)"),"")</f>
        <v/>
      </c>
      <c r="G170" s="138" t="str">
        <f>IFERROR(__xludf.DUMMYFUNCTION("IFERROR(INDEX(FILTER('Vân tay'!$A$5:$O270,'Vân tay'!$C$5:$C270=F170,'Vân tay'!$B$5:$B270=D170),1,10),"""")"),"")</f>
        <v/>
      </c>
      <c r="H170" s="138" t="str">
        <f>IFERROR(__xludf.DUMMYFUNCTION("IFERROR(INDEX(FILTER('Vân tay'!$A$5:$O270,'Vân tay'!$C$5:$C270=F170,'Vân tay'!$B$5:$B270=D170),1,11),"""")"),"")</f>
        <v/>
      </c>
      <c r="I170" s="138" t="str">
        <f>IFERROR(__xludf.DUMMYFUNCTION("IFERROR(INDEX(FILTER('Vân tay'!$A$5:$O270,'Vân tay'!$C$5:$C270=F170,'Vân tay'!$B$5:$B270=D170),1,14),"""")"),"")</f>
        <v/>
      </c>
      <c r="J170" s="138" t="str">
        <f>IFERROR(__xludf.DUMMYFUNCTION("IFERROR(INDEX(FILTER('Vân tay'!$A$5:$O270,'Vân tay'!$C$5:$C270=F170,'Vân tay'!$B$5:$B270=D170),1,15),"""")"),"")</f>
        <v/>
      </c>
      <c r="K170" s="196" t="str">
        <f t="shared" si="1"/>
        <v/>
      </c>
      <c r="L170" s="196" t="str">
        <f t="shared" si="2"/>
        <v/>
      </c>
      <c r="M170" s="197" t="str">
        <f t="shared" si="9"/>
        <v/>
      </c>
      <c r="N170" s="198" t="str">
        <f t="shared" si="3"/>
        <v/>
      </c>
      <c r="O170" s="198" t="str">
        <f t="shared" si="10"/>
        <v/>
      </c>
      <c r="P170" s="198"/>
      <c r="Q170" s="198">
        <f t="shared" si="4"/>
        <v>0</v>
      </c>
      <c r="R170" s="198">
        <f t="shared" si="5"/>
        <v>0</v>
      </c>
      <c r="S170" s="199">
        <f t="shared" si="6"/>
        <v>0</v>
      </c>
      <c r="T170" s="198">
        <f t="shared" si="7"/>
        <v>0</v>
      </c>
      <c r="U170" s="198"/>
      <c r="V170" s="198"/>
      <c r="W170" s="198">
        <f t="shared" si="8"/>
        <v>0</v>
      </c>
      <c r="X170" s="200"/>
    </row>
    <row r="171">
      <c r="A171" s="135"/>
      <c r="B171" s="135"/>
      <c r="C171" s="135"/>
      <c r="D171" s="195"/>
      <c r="E171" s="135" t="str">
        <f>IFERROR(VLOOKUP(C171,'Công T5'!$C$7:$F$89,4,0),"")</f>
        <v/>
      </c>
      <c r="F171" s="137" t="str">
        <f>IFERROR(__xludf.DUMMYFUNCTION("INDEX(FILTER('Công T5'!$B$8:$C$89,'Công T5'!$C$8:$C$89=C171),1,1)"),"")</f>
        <v/>
      </c>
      <c r="G171" s="138" t="str">
        <f>IFERROR(__xludf.DUMMYFUNCTION("IFERROR(INDEX(FILTER('Vân tay'!$A$5:$O270,'Vân tay'!$C$5:$C270=F171,'Vân tay'!$B$5:$B270=D171),1,10),"""")"),"")</f>
        <v/>
      </c>
      <c r="H171" s="138" t="str">
        <f>IFERROR(__xludf.DUMMYFUNCTION("IFERROR(INDEX(FILTER('Vân tay'!$A$5:$O270,'Vân tay'!$C$5:$C270=F171,'Vân tay'!$B$5:$B270=D171),1,11),"""")"),"")</f>
        <v/>
      </c>
      <c r="I171" s="138" t="str">
        <f>IFERROR(__xludf.DUMMYFUNCTION("IFERROR(INDEX(FILTER('Vân tay'!$A$5:$O270,'Vân tay'!$C$5:$C270=F171,'Vân tay'!$B$5:$B270=D171),1,14),"""")"),"")</f>
        <v/>
      </c>
      <c r="J171" s="138" t="str">
        <f>IFERROR(__xludf.DUMMYFUNCTION("IFERROR(INDEX(FILTER('Vân tay'!$A$5:$O270,'Vân tay'!$C$5:$C270=F171,'Vân tay'!$B$5:$B270=D171),1,15),"""")"),"")</f>
        <v/>
      </c>
      <c r="K171" s="196" t="str">
        <f t="shared" si="1"/>
        <v/>
      </c>
      <c r="L171" s="196" t="str">
        <f t="shared" si="2"/>
        <v/>
      </c>
      <c r="M171" s="197" t="str">
        <f t="shared" si="9"/>
        <v/>
      </c>
      <c r="N171" s="198" t="str">
        <f t="shared" si="3"/>
        <v/>
      </c>
      <c r="O171" s="198" t="str">
        <f t="shared" si="10"/>
        <v/>
      </c>
      <c r="P171" s="198"/>
      <c r="Q171" s="198">
        <f t="shared" si="4"/>
        <v>0</v>
      </c>
      <c r="R171" s="198">
        <f t="shared" si="5"/>
        <v>0</v>
      </c>
      <c r="S171" s="199">
        <f t="shared" si="6"/>
        <v>0</v>
      </c>
      <c r="T171" s="198">
        <f t="shared" si="7"/>
        <v>0</v>
      </c>
      <c r="U171" s="198"/>
      <c r="V171" s="198"/>
      <c r="W171" s="198">
        <f t="shared" si="8"/>
        <v>0</v>
      </c>
      <c r="X171" s="200"/>
    </row>
    <row r="172">
      <c r="A172" s="135"/>
      <c r="B172" s="135"/>
      <c r="C172" s="195"/>
      <c r="D172" s="195"/>
      <c r="E172" s="135" t="str">
        <f>IFERROR(VLOOKUP(C172,'Công T5'!$C$7:$F$89,4,0),"")</f>
        <v/>
      </c>
      <c r="F172" s="137" t="str">
        <f>IFERROR(__xludf.DUMMYFUNCTION("INDEX(FILTER('Công T5'!$B$8:$C$89,'Công T5'!$C$8:$C$89=C172),1,1)"),"")</f>
        <v/>
      </c>
      <c r="G172" s="138" t="str">
        <f>IFERROR(__xludf.DUMMYFUNCTION("IFERROR(INDEX(FILTER('Vân tay'!$A$5:$O270,'Vân tay'!$C$5:$C270=F172,'Vân tay'!$B$5:$B270=D172),1,10),"""")"),"")</f>
        <v/>
      </c>
      <c r="H172" s="138" t="str">
        <f>IFERROR(__xludf.DUMMYFUNCTION("IFERROR(INDEX(FILTER('Vân tay'!$A$5:$O270,'Vân tay'!$C$5:$C270=F172,'Vân tay'!$B$5:$B270=D172),1,11),"""")"),"")</f>
        <v/>
      </c>
      <c r="I172" s="138" t="str">
        <f>IFERROR(__xludf.DUMMYFUNCTION("IFERROR(INDEX(FILTER('Vân tay'!$A$5:$O270,'Vân tay'!$C$5:$C270=F172,'Vân tay'!$B$5:$B270=D172),1,14),"""")"),"")</f>
        <v/>
      </c>
      <c r="J172" s="138" t="str">
        <f>IFERROR(__xludf.DUMMYFUNCTION("IFERROR(INDEX(FILTER('Vân tay'!$A$5:$O270,'Vân tay'!$C$5:$C270=F172,'Vân tay'!$B$5:$B270=D172),1,15),"""")"),"")</f>
        <v/>
      </c>
      <c r="K172" s="196" t="str">
        <f t="shared" si="1"/>
        <v/>
      </c>
      <c r="L172" s="196" t="str">
        <f t="shared" si="2"/>
        <v/>
      </c>
      <c r="M172" s="197" t="str">
        <f t="shared" si="9"/>
        <v/>
      </c>
      <c r="N172" s="198" t="str">
        <f t="shared" si="3"/>
        <v/>
      </c>
      <c r="O172" s="198" t="str">
        <f t="shared" si="10"/>
        <v/>
      </c>
      <c r="P172" s="198"/>
      <c r="Q172" s="198">
        <f t="shared" si="4"/>
        <v>0</v>
      </c>
      <c r="R172" s="198">
        <f t="shared" si="5"/>
        <v>0</v>
      </c>
      <c r="S172" s="199">
        <f t="shared" si="6"/>
        <v>0</v>
      </c>
      <c r="T172" s="198">
        <f t="shared" si="7"/>
        <v>0</v>
      </c>
      <c r="U172" s="198"/>
      <c r="V172" s="198"/>
      <c r="W172" s="198">
        <f t="shared" si="8"/>
        <v>0</v>
      </c>
      <c r="X172" s="200"/>
    </row>
    <row r="173">
      <c r="A173" s="135"/>
      <c r="B173" s="135"/>
      <c r="C173" s="195"/>
      <c r="D173" s="195"/>
      <c r="E173" s="135" t="str">
        <f>IFERROR(VLOOKUP(C173,'Công T5'!$C$7:$F$89,4,0),"")</f>
        <v/>
      </c>
      <c r="F173" s="137" t="str">
        <f>IFERROR(__xludf.DUMMYFUNCTION("INDEX(FILTER('Công T5'!$B$8:$C$89,'Công T5'!$C$8:$C$89=C173),1,1)"),"")</f>
        <v/>
      </c>
      <c r="G173" s="138" t="str">
        <f>IFERROR(__xludf.DUMMYFUNCTION("IFERROR(INDEX(FILTER('Vân tay'!$A$5:$O270,'Vân tay'!$C$5:$C270=F173,'Vân tay'!$B$5:$B270=D173),1,10),"""")"),"")</f>
        <v/>
      </c>
      <c r="H173" s="138" t="str">
        <f>IFERROR(__xludf.DUMMYFUNCTION("IFERROR(INDEX(FILTER('Vân tay'!$A$5:$O270,'Vân tay'!$C$5:$C270=F173,'Vân tay'!$B$5:$B270=D173),1,11),"""")"),"")</f>
        <v/>
      </c>
      <c r="I173" s="138" t="str">
        <f>IFERROR(__xludf.DUMMYFUNCTION("IFERROR(INDEX(FILTER('Vân tay'!$A$5:$O270,'Vân tay'!$C$5:$C270=F173,'Vân tay'!$B$5:$B270=D173),1,14),"""")"),"")</f>
        <v/>
      </c>
      <c r="J173" s="138" t="str">
        <f>IFERROR(__xludf.DUMMYFUNCTION("IFERROR(INDEX(FILTER('Vân tay'!$A$5:$O270,'Vân tay'!$C$5:$C270=F173,'Vân tay'!$B$5:$B270=D173),1,15),"""")"),"")</f>
        <v/>
      </c>
      <c r="K173" s="196" t="str">
        <f t="shared" si="1"/>
        <v/>
      </c>
      <c r="L173" s="196" t="str">
        <f t="shared" si="2"/>
        <v/>
      </c>
      <c r="M173" s="197" t="str">
        <f t="shared" si="9"/>
        <v/>
      </c>
      <c r="N173" s="198" t="str">
        <f t="shared" si="3"/>
        <v/>
      </c>
      <c r="O173" s="198" t="str">
        <f t="shared" si="10"/>
        <v/>
      </c>
      <c r="P173" s="198"/>
      <c r="Q173" s="198">
        <f t="shared" si="4"/>
        <v>0</v>
      </c>
      <c r="R173" s="198">
        <f t="shared" si="5"/>
        <v>0</v>
      </c>
      <c r="S173" s="199">
        <f t="shared" si="6"/>
        <v>0</v>
      </c>
      <c r="T173" s="198">
        <f t="shared" si="7"/>
        <v>0</v>
      </c>
      <c r="U173" s="198"/>
      <c r="V173" s="198"/>
      <c r="W173" s="198">
        <f t="shared" si="8"/>
        <v>0</v>
      </c>
      <c r="X173" s="200"/>
    </row>
    <row r="174">
      <c r="A174" s="135"/>
      <c r="B174" s="135"/>
      <c r="C174" s="195"/>
      <c r="D174" s="195"/>
      <c r="E174" s="135" t="str">
        <f>IFERROR(VLOOKUP(C174,'Công T5'!$C$7:$F$89,4,0),"")</f>
        <v/>
      </c>
      <c r="F174" s="137" t="str">
        <f>IFERROR(__xludf.DUMMYFUNCTION("INDEX(FILTER('Công T5'!$B$8:$C$89,'Công T5'!$C$8:$C$89=C174),1,1)"),"")</f>
        <v/>
      </c>
      <c r="G174" s="138" t="str">
        <f>IFERROR(__xludf.DUMMYFUNCTION("IFERROR(INDEX(FILTER('Vân tay'!$A$5:$O270,'Vân tay'!$C$5:$C270=F174,'Vân tay'!$B$5:$B270=D174),1,10),"""")"),"")</f>
        <v/>
      </c>
      <c r="H174" s="138" t="str">
        <f>IFERROR(__xludf.DUMMYFUNCTION("IFERROR(INDEX(FILTER('Vân tay'!$A$5:$O270,'Vân tay'!$C$5:$C270=F174,'Vân tay'!$B$5:$B270=D174),1,11),"""")"),"")</f>
        <v/>
      </c>
      <c r="I174" s="138" t="str">
        <f>IFERROR(__xludf.DUMMYFUNCTION("IFERROR(INDEX(FILTER('Vân tay'!$A$5:$O270,'Vân tay'!$C$5:$C270=F174,'Vân tay'!$B$5:$B270=D174),1,14),"""")"),"")</f>
        <v/>
      </c>
      <c r="J174" s="138" t="str">
        <f>IFERROR(__xludf.DUMMYFUNCTION("IFERROR(INDEX(FILTER('Vân tay'!$A$5:$O270,'Vân tay'!$C$5:$C270=F174,'Vân tay'!$B$5:$B270=D174),1,15),"""")"),"")</f>
        <v/>
      </c>
      <c r="K174" s="196" t="str">
        <f t="shared" si="1"/>
        <v/>
      </c>
      <c r="L174" s="196" t="str">
        <f t="shared" si="2"/>
        <v/>
      </c>
      <c r="M174" s="197" t="str">
        <f t="shared" si="9"/>
        <v/>
      </c>
      <c r="N174" s="198" t="str">
        <f t="shared" si="3"/>
        <v/>
      </c>
      <c r="O174" s="198" t="str">
        <f t="shared" si="10"/>
        <v/>
      </c>
      <c r="P174" s="198"/>
      <c r="Q174" s="198">
        <f t="shared" si="4"/>
        <v>0</v>
      </c>
      <c r="R174" s="198">
        <f t="shared" si="5"/>
        <v>0</v>
      </c>
      <c r="S174" s="199">
        <f t="shared" si="6"/>
        <v>0</v>
      </c>
      <c r="T174" s="198">
        <f t="shared" si="7"/>
        <v>0</v>
      </c>
      <c r="U174" s="198"/>
      <c r="V174" s="198"/>
      <c r="W174" s="198">
        <f t="shared" si="8"/>
        <v>0</v>
      </c>
      <c r="X174" s="200"/>
    </row>
    <row r="175">
      <c r="A175" s="135"/>
      <c r="B175" s="135"/>
      <c r="C175" s="195"/>
      <c r="D175" s="195"/>
      <c r="E175" s="135" t="str">
        <f>IFERROR(VLOOKUP(C175,'Công T5'!$C$7:$F$89,4,0),"")</f>
        <v/>
      </c>
      <c r="F175" s="137" t="str">
        <f>IFERROR(__xludf.DUMMYFUNCTION("INDEX(FILTER('Công T5'!$B$8:$C$89,'Công T5'!$C$8:$C$89=C175),1,1)"),"")</f>
        <v/>
      </c>
      <c r="G175" s="138" t="str">
        <f>IFERROR(__xludf.DUMMYFUNCTION("IFERROR(INDEX(FILTER('Vân tay'!$A$5:$O270,'Vân tay'!$C$5:$C270=F175,'Vân tay'!$B$5:$B270=D175),1,10),"""")"),"")</f>
        <v/>
      </c>
      <c r="H175" s="138" t="str">
        <f>IFERROR(__xludf.DUMMYFUNCTION("IFERROR(INDEX(FILTER('Vân tay'!$A$5:$O270,'Vân tay'!$C$5:$C270=F175,'Vân tay'!$B$5:$B270=D175),1,11),"""")"),"")</f>
        <v/>
      </c>
      <c r="I175" s="138" t="str">
        <f>IFERROR(__xludf.DUMMYFUNCTION("IFERROR(INDEX(FILTER('Vân tay'!$A$5:$O270,'Vân tay'!$C$5:$C270=F175,'Vân tay'!$B$5:$B270=D175),1,14),"""")"),"")</f>
        <v/>
      </c>
      <c r="J175" s="138" t="str">
        <f>IFERROR(__xludf.DUMMYFUNCTION("IFERROR(INDEX(FILTER('Vân tay'!$A$5:$O270,'Vân tay'!$C$5:$C270=F175,'Vân tay'!$B$5:$B270=D175),1,15),"""")"),"")</f>
        <v/>
      </c>
      <c r="K175" s="196" t="str">
        <f t="shared" si="1"/>
        <v/>
      </c>
      <c r="L175" s="196" t="str">
        <f t="shared" si="2"/>
        <v/>
      </c>
      <c r="M175" s="197" t="str">
        <f t="shared" si="9"/>
        <v/>
      </c>
      <c r="N175" s="198" t="str">
        <f t="shared" si="3"/>
        <v/>
      </c>
      <c r="O175" s="198" t="str">
        <f t="shared" si="10"/>
        <v/>
      </c>
      <c r="P175" s="198"/>
      <c r="Q175" s="198">
        <f t="shared" si="4"/>
        <v>0</v>
      </c>
      <c r="R175" s="198">
        <f t="shared" si="5"/>
        <v>0</v>
      </c>
      <c r="S175" s="199">
        <f t="shared" si="6"/>
        <v>0</v>
      </c>
      <c r="T175" s="198">
        <f t="shared" si="7"/>
        <v>0</v>
      </c>
      <c r="U175" s="198"/>
      <c r="V175" s="198"/>
      <c r="W175" s="198">
        <f t="shared" si="8"/>
        <v>0</v>
      </c>
      <c r="X175" s="200"/>
    </row>
    <row r="176">
      <c r="A176" s="135"/>
      <c r="B176" s="135"/>
      <c r="C176" s="195"/>
      <c r="D176" s="195"/>
      <c r="E176" s="135" t="str">
        <f>IFERROR(VLOOKUP(C176,'Công T5'!$C$7:$F$89,4,0),"")</f>
        <v/>
      </c>
      <c r="F176" s="137" t="str">
        <f>IFERROR(__xludf.DUMMYFUNCTION("INDEX(FILTER('Công T5'!$B$8:$C$89,'Công T5'!$C$8:$C$89=C176),1,1)"),"")</f>
        <v/>
      </c>
      <c r="G176" s="138" t="str">
        <f>IFERROR(__xludf.DUMMYFUNCTION("IFERROR(INDEX(FILTER('Vân tay'!$A$5:$O270,'Vân tay'!$C$5:$C270=F176,'Vân tay'!$B$5:$B270=D176),1,10),"""")"),"")</f>
        <v/>
      </c>
      <c r="H176" s="138" t="str">
        <f>IFERROR(__xludf.DUMMYFUNCTION("IFERROR(INDEX(FILTER('Vân tay'!$A$5:$O270,'Vân tay'!$C$5:$C270=F176,'Vân tay'!$B$5:$B270=D176),1,11),"""")"),"")</f>
        <v/>
      </c>
      <c r="I176" s="138" t="str">
        <f>IFERROR(__xludf.DUMMYFUNCTION("IFERROR(INDEX(FILTER('Vân tay'!$A$5:$O270,'Vân tay'!$C$5:$C270=F176,'Vân tay'!$B$5:$B270=D176),1,14),"""")"),"")</f>
        <v/>
      </c>
      <c r="J176" s="138" t="str">
        <f>IFERROR(__xludf.DUMMYFUNCTION("IFERROR(INDEX(FILTER('Vân tay'!$A$5:$O270,'Vân tay'!$C$5:$C270=F176,'Vân tay'!$B$5:$B270=D176),1,15),"""")"),"")</f>
        <v/>
      </c>
      <c r="K176" s="196" t="str">
        <f t="shared" si="1"/>
        <v/>
      </c>
      <c r="L176" s="196" t="str">
        <f t="shared" si="2"/>
        <v/>
      </c>
      <c r="M176" s="197" t="str">
        <f t="shared" si="9"/>
        <v/>
      </c>
      <c r="N176" s="198" t="str">
        <f t="shared" si="3"/>
        <v/>
      </c>
      <c r="O176" s="198" t="str">
        <f t="shared" si="10"/>
        <v/>
      </c>
      <c r="P176" s="198"/>
      <c r="Q176" s="198">
        <f t="shared" si="4"/>
        <v>0</v>
      </c>
      <c r="R176" s="198">
        <f t="shared" si="5"/>
        <v>0</v>
      </c>
      <c r="S176" s="199">
        <f t="shared" si="6"/>
        <v>0</v>
      </c>
      <c r="T176" s="198">
        <f t="shared" si="7"/>
        <v>0</v>
      </c>
      <c r="U176" s="198"/>
      <c r="V176" s="198"/>
      <c r="W176" s="198">
        <f t="shared" si="8"/>
        <v>0</v>
      </c>
      <c r="X176" s="200"/>
    </row>
    <row r="177">
      <c r="A177" s="135"/>
      <c r="B177" s="135"/>
      <c r="C177" s="195"/>
      <c r="D177" s="195"/>
      <c r="E177" s="135" t="str">
        <f>IFERROR(VLOOKUP(C177,'Công T5'!$C$7:$F$89,4,0),"")</f>
        <v/>
      </c>
      <c r="F177" s="137" t="str">
        <f>IFERROR(__xludf.DUMMYFUNCTION("INDEX(FILTER('Công T5'!$B$8:$C$89,'Công T5'!$C$8:$C$89=C177),1,1)"),"")</f>
        <v/>
      </c>
      <c r="G177" s="138" t="str">
        <f>IFERROR(__xludf.DUMMYFUNCTION("IFERROR(INDEX(FILTER('Vân tay'!$A$5:$O270,'Vân tay'!$C$5:$C270=F177,'Vân tay'!$B$5:$B270=D177),1,10),"""")"),"")</f>
        <v/>
      </c>
      <c r="H177" s="138" t="str">
        <f>IFERROR(__xludf.DUMMYFUNCTION("IFERROR(INDEX(FILTER('Vân tay'!$A$5:$O270,'Vân tay'!$C$5:$C270=F177,'Vân tay'!$B$5:$B270=D177),1,11),"""")"),"")</f>
        <v/>
      </c>
      <c r="I177" s="138" t="str">
        <f>IFERROR(__xludf.DUMMYFUNCTION("IFERROR(INDEX(FILTER('Vân tay'!$A$5:$O270,'Vân tay'!$C$5:$C270=F177,'Vân tay'!$B$5:$B270=D177),1,14),"""")"),"")</f>
        <v/>
      </c>
      <c r="J177" s="138" t="str">
        <f>IFERROR(__xludf.DUMMYFUNCTION("IFERROR(INDEX(FILTER('Vân tay'!$A$5:$O270,'Vân tay'!$C$5:$C270=F177,'Vân tay'!$B$5:$B270=D177),1,15),"""")"),"")</f>
        <v/>
      </c>
      <c r="K177" s="196" t="str">
        <f t="shared" si="1"/>
        <v/>
      </c>
      <c r="L177" s="196" t="str">
        <f t="shared" si="2"/>
        <v/>
      </c>
      <c r="M177" s="197" t="str">
        <f t="shared" si="9"/>
        <v/>
      </c>
      <c r="N177" s="198" t="str">
        <f t="shared" si="3"/>
        <v/>
      </c>
      <c r="O177" s="198" t="str">
        <f t="shared" si="10"/>
        <v/>
      </c>
      <c r="P177" s="198"/>
      <c r="Q177" s="198">
        <f t="shared" si="4"/>
        <v>0</v>
      </c>
      <c r="R177" s="198">
        <f t="shared" si="5"/>
        <v>0</v>
      </c>
      <c r="S177" s="199">
        <f t="shared" si="6"/>
        <v>0</v>
      </c>
      <c r="T177" s="198">
        <f t="shared" si="7"/>
        <v>0</v>
      </c>
      <c r="U177" s="198"/>
      <c r="V177" s="198"/>
      <c r="W177" s="198">
        <f t="shared" si="8"/>
        <v>0</v>
      </c>
      <c r="X177" s="200"/>
    </row>
    <row r="178">
      <c r="A178" s="135"/>
      <c r="B178" s="135"/>
      <c r="C178" s="195"/>
      <c r="D178" s="195"/>
      <c r="E178" s="135" t="str">
        <f>IFERROR(VLOOKUP(C178,'Công T5'!$C$7:$F$89,4,0),"")</f>
        <v/>
      </c>
      <c r="F178" s="137" t="str">
        <f>IFERROR(__xludf.DUMMYFUNCTION("INDEX(FILTER('Công T5'!$B$8:$C$89,'Công T5'!$C$8:$C$89=C178),1,1)"),"")</f>
        <v/>
      </c>
      <c r="G178" s="138" t="str">
        <f>IFERROR(__xludf.DUMMYFUNCTION("IFERROR(INDEX(FILTER('Vân tay'!$A$5:$O270,'Vân tay'!$C$5:$C270=F178,'Vân tay'!$B$5:$B270=D178),1,10),"""")"),"")</f>
        <v/>
      </c>
      <c r="H178" s="138" t="str">
        <f>IFERROR(__xludf.DUMMYFUNCTION("IFERROR(INDEX(FILTER('Vân tay'!$A$5:$O270,'Vân tay'!$C$5:$C270=F178,'Vân tay'!$B$5:$B270=D178),1,11),"""")"),"")</f>
        <v/>
      </c>
      <c r="I178" s="138" t="str">
        <f>IFERROR(__xludf.DUMMYFUNCTION("IFERROR(INDEX(FILTER('Vân tay'!$A$5:$O270,'Vân tay'!$C$5:$C270=F178,'Vân tay'!$B$5:$B270=D178),1,14),"""")"),"")</f>
        <v/>
      </c>
      <c r="J178" s="138" t="str">
        <f>IFERROR(__xludf.DUMMYFUNCTION("IFERROR(INDEX(FILTER('Vân tay'!$A$5:$O270,'Vân tay'!$C$5:$C270=F178,'Vân tay'!$B$5:$B270=D178),1,15),"""")"),"")</f>
        <v/>
      </c>
      <c r="K178" s="196" t="str">
        <f t="shared" si="1"/>
        <v/>
      </c>
      <c r="L178" s="196" t="str">
        <f t="shared" si="2"/>
        <v/>
      </c>
      <c r="M178" s="197" t="str">
        <f t="shared" si="9"/>
        <v/>
      </c>
      <c r="N178" s="198" t="str">
        <f t="shared" si="3"/>
        <v/>
      </c>
      <c r="O178" s="198" t="str">
        <f t="shared" si="10"/>
        <v/>
      </c>
      <c r="P178" s="198"/>
      <c r="Q178" s="198">
        <f t="shared" si="4"/>
        <v>0</v>
      </c>
      <c r="R178" s="198">
        <f t="shared" si="5"/>
        <v>0</v>
      </c>
      <c r="S178" s="199">
        <f t="shared" si="6"/>
        <v>0</v>
      </c>
      <c r="T178" s="198">
        <f t="shared" si="7"/>
        <v>0</v>
      </c>
      <c r="U178" s="198"/>
      <c r="V178" s="198"/>
      <c r="W178" s="198">
        <f t="shared" si="8"/>
        <v>0</v>
      </c>
      <c r="X178" s="200"/>
    </row>
    <row r="179">
      <c r="A179" s="135"/>
      <c r="B179" s="135"/>
      <c r="C179" s="195"/>
      <c r="D179" s="195"/>
      <c r="E179" s="135" t="str">
        <f>IFERROR(VLOOKUP(C179,'Công T5'!$C$7:$F$89,4,0),"")</f>
        <v/>
      </c>
      <c r="F179" s="137" t="str">
        <f>IFERROR(__xludf.DUMMYFUNCTION("INDEX(FILTER('Công T5'!$B$8:$C$89,'Công T5'!$C$8:$C$89=C179),1,1)"),"")</f>
        <v/>
      </c>
      <c r="G179" s="138" t="str">
        <f>IFERROR(__xludf.DUMMYFUNCTION("IFERROR(INDEX(FILTER('Vân tay'!$A$5:$O270,'Vân tay'!$C$5:$C270=F179,'Vân tay'!$B$5:$B270=D179),1,10),"""")"),"")</f>
        <v/>
      </c>
      <c r="H179" s="138" t="str">
        <f>IFERROR(__xludf.DUMMYFUNCTION("IFERROR(INDEX(FILTER('Vân tay'!$A$5:$O270,'Vân tay'!$C$5:$C270=F179,'Vân tay'!$B$5:$B270=D179),1,11),"""")"),"")</f>
        <v/>
      </c>
      <c r="I179" s="138" t="str">
        <f>IFERROR(__xludf.DUMMYFUNCTION("IFERROR(INDEX(FILTER('Vân tay'!$A$5:$O270,'Vân tay'!$C$5:$C270=F179,'Vân tay'!$B$5:$B270=D179),1,14),"""")"),"")</f>
        <v/>
      </c>
      <c r="J179" s="138" t="str">
        <f>IFERROR(__xludf.DUMMYFUNCTION("IFERROR(INDEX(FILTER('Vân tay'!$A$5:$O270,'Vân tay'!$C$5:$C270=F179,'Vân tay'!$B$5:$B270=D179),1,15),"""")"),"")</f>
        <v/>
      </c>
      <c r="K179" s="196" t="str">
        <f t="shared" si="1"/>
        <v/>
      </c>
      <c r="L179" s="196" t="str">
        <f t="shared" si="2"/>
        <v/>
      </c>
      <c r="M179" s="197" t="str">
        <f t="shared" si="9"/>
        <v/>
      </c>
      <c r="N179" s="198" t="str">
        <f t="shared" si="3"/>
        <v/>
      </c>
      <c r="O179" s="198" t="str">
        <f t="shared" si="10"/>
        <v/>
      </c>
      <c r="P179" s="198"/>
      <c r="Q179" s="198">
        <f t="shared" si="4"/>
        <v>0</v>
      </c>
      <c r="R179" s="198">
        <f t="shared" si="5"/>
        <v>0</v>
      </c>
      <c r="S179" s="199">
        <f t="shared" si="6"/>
        <v>0</v>
      </c>
      <c r="T179" s="198">
        <f t="shared" si="7"/>
        <v>0</v>
      </c>
      <c r="U179" s="198"/>
      <c r="V179" s="198"/>
      <c r="W179" s="198">
        <f t="shared" si="8"/>
        <v>0</v>
      </c>
      <c r="X179" s="200"/>
    </row>
    <row r="180">
      <c r="A180" s="135"/>
      <c r="B180" s="135"/>
      <c r="C180" s="195"/>
      <c r="D180" s="195"/>
      <c r="E180" s="135" t="str">
        <f>IFERROR(VLOOKUP(C180,'Công T5'!$C$7:$F$89,4,0),"")</f>
        <v/>
      </c>
      <c r="F180" s="137" t="str">
        <f>IFERROR(__xludf.DUMMYFUNCTION("INDEX(FILTER('Công T5'!$B$8:$C$89,'Công T5'!$C$8:$C$89=C180),1,1)"),"")</f>
        <v/>
      </c>
      <c r="G180" s="138" t="str">
        <f>IFERROR(__xludf.DUMMYFUNCTION("IFERROR(INDEX(FILTER('Vân tay'!$A$5:$O270,'Vân tay'!$C$5:$C270=F180,'Vân tay'!$B$5:$B270=D180),1,10),"""")"),"")</f>
        <v/>
      </c>
      <c r="H180" s="138" t="str">
        <f>IFERROR(__xludf.DUMMYFUNCTION("IFERROR(INDEX(FILTER('Vân tay'!$A$5:$O270,'Vân tay'!$C$5:$C270=F180,'Vân tay'!$B$5:$B270=D180),1,11),"""")"),"")</f>
        <v/>
      </c>
      <c r="I180" s="138" t="str">
        <f>IFERROR(__xludf.DUMMYFUNCTION("IFERROR(INDEX(FILTER('Vân tay'!$A$5:$O270,'Vân tay'!$C$5:$C270=F180,'Vân tay'!$B$5:$B270=D180),1,14),"""")"),"")</f>
        <v/>
      </c>
      <c r="J180" s="138" t="str">
        <f>IFERROR(__xludf.DUMMYFUNCTION("IFERROR(INDEX(FILTER('Vân tay'!$A$5:$O270,'Vân tay'!$C$5:$C270=F180,'Vân tay'!$B$5:$B270=D180),1,15),"""")"),"")</f>
        <v/>
      </c>
      <c r="K180" s="196" t="str">
        <f t="shared" si="1"/>
        <v/>
      </c>
      <c r="L180" s="196" t="str">
        <f t="shared" si="2"/>
        <v/>
      </c>
      <c r="M180" s="197" t="str">
        <f t="shared" si="9"/>
        <v/>
      </c>
      <c r="N180" s="198" t="str">
        <f t="shared" si="3"/>
        <v/>
      </c>
      <c r="O180" s="198" t="str">
        <f t="shared" si="10"/>
        <v/>
      </c>
      <c r="P180" s="198"/>
      <c r="Q180" s="198">
        <f t="shared" si="4"/>
        <v>0</v>
      </c>
      <c r="R180" s="198">
        <f t="shared" si="5"/>
        <v>0</v>
      </c>
      <c r="S180" s="199">
        <f t="shared" si="6"/>
        <v>0</v>
      </c>
      <c r="T180" s="198">
        <f t="shared" si="7"/>
        <v>0</v>
      </c>
      <c r="U180" s="198"/>
      <c r="V180" s="198"/>
      <c r="W180" s="198">
        <f t="shared" si="8"/>
        <v>0</v>
      </c>
      <c r="X180" s="200"/>
    </row>
    <row r="181">
      <c r="A181" s="135"/>
      <c r="B181" s="135"/>
      <c r="C181" s="195"/>
      <c r="D181" s="195"/>
      <c r="E181" s="135" t="str">
        <f>IFERROR(VLOOKUP(C181,'Công T5'!$C$7:$F$89,4,0),"")</f>
        <v/>
      </c>
      <c r="F181" s="137" t="str">
        <f>IFERROR(__xludf.DUMMYFUNCTION("INDEX(FILTER('Công T5'!$B$8:$C$89,'Công T5'!$C$8:$C$89=C181),1,1)"),"")</f>
        <v/>
      </c>
      <c r="G181" s="138" t="str">
        <f>IFERROR(__xludf.DUMMYFUNCTION("IFERROR(INDEX(FILTER('Vân tay'!$A$5:$O270,'Vân tay'!$C$5:$C270=F181,'Vân tay'!$B$5:$B270=D181),1,10),"""")"),"")</f>
        <v/>
      </c>
      <c r="H181" s="138" t="str">
        <f>IFERROR(__xludf.DUMMYFUNCTION("IFERROR(INDEX(FILTER('Vân tay'!$A$5:$O270,'Vân tay'!$C$5:$C270=F181,'Vân tay'!$B$5:$B270=D181),1,11),"""")"),"")</f>
        <v/>
      </c>
      <c r="I181" s="138" t="str">
        <f>IFERROR(__xludf.DUMMYFUNCTION("IFERROR(INDEX(FILTER('Vân tay'!$A$5:$O270,'Vân tay'!$C$5:$C270=F181,'Vân tay'!$B$5:$B270=D181),1,14),"""")"),"")</f>
        <v/>
      </c>
      <c r="J181" s="138" t="str">
        <f>IFERROR(__xludf.DUMMYFUNCTION("IFERROR(INDEX(FILTER('Vân tay'!$A$5:$O270,'Vân tay'!$C$5:$C270=F181,'Vân tay'!$B$5:$B270=D181),1,15),"""")"),"")</f>
        <v/>
      </c>
      <c r="K181" s="196" t="str">
        <f t="shared" si="1"/>
        <v/>
      </c>
      <c r="L181" s="196" t="str">
        <f t="shared" si="2"/>
        <v/>
      </c>
      <c r="M181" s="197" t="str">
        <f t="shared" si="9"/>
        <v/>
      </c>
      <c r="N181" s="198" t="str">
        <f t="shared" si="3"/>
        <v/>
      </c>
      <c r="O181" s="198" t="str">
        <f t="shared" si="10"/>
        <v/>
      </c>
      <c r="P181" s="198"/>
      <c r="Q181" s="198">
        <f t="shared" si="4"/>
        <v>0</v>
      </c>
      <c r="R181" s="198">
        <f t="shared" si="5"/>
        <v>0</v>
      </c>
      <c r="S181" s="199">
        <f t="shared" si="6"/>
        <v>0</v>
      </c>
      <c r="T181" s="198">
        <f t="shared" si="7"/>
        <v>0</v>
      </c>
      <c r="U181" s="198"/>
      <c r="V181" s="198"/>
      <c r="W181" s="198">
        <f t="shared" si="8"/>
        <v>0</v>
      </c>
      <c r="X181" s="200"/>
    </row>
    <row r="182">
      <c r="A182" s="135"/>
      <c r="B182" s="135"/>
      <c r="C182" s="195"/>
      <c r="D182" s="195"/>
      <c r="E182" s="135" t="str">
        <f>IFERROR(VLOOKUP(C182,'Công T5'!$C$7:$F$89,4,0),"")</f>
        <v/>
      </c>
      <c r="F182" s="137" t="str">
        <f>IFERROR(__xludf.DUMMYFUNCTION("INDEX(FILTER('Công T5'!$B$8:$C$89,'Công T5'!$C$8:$C$89=C182),1,1)"),"")</f>
        <v/>
      </c>
      <c r="G182" s="138" t="str">
        <f>IFERROR(__xludf.DUMMYFUNCTION("IFERROR(INDEX(FILTER('Vân tay'!$A$5:$O270,'Vân tay'!$C$5:$C270=F182,'Vân tay'!$B$5:$B270=D182),1,10),"""")"),"")</f>
        <v/>
      </c>
      <c r="H182" s="138" t="str">
        <f>IFERROR(__xludf.DUMMYFUNCTION("IFERROR(INDEX(FILTER('Vân tay'!$A$5:$O270,'Vân tay'!$C$5:$C270=F182,'Vân tay'!$B$5:$B270=D182),1,11),"""")"),"")</f>
        <v/>
      </c>
      <c r="I182" s="138" t="str">
        <f>IFERROR(__xludf.DUMMYFUNCTION("IFERROR(INDEX(FILTER('Vân tay'!$A$5:$O270,'Vân tay'!$C$5:$C270=F182,'Vân tay'!$B$5:$B270=D182),1,14),"""")"),"")</f>
        <v/>
      </c>
      <c r="J182" s="138" t="str">
        <f>IFERROR(__xludf.DUMMYFUNCTION("IFERROR(INDEX(FILTER('Vân tay'!$A$5:$O270,'Vân tay'!$C$5:$C270=F182,'Vân tay'!$B$5:$B270=D182),1,15),"""")"),"")</f>
        <v/>
      </c>
      <c r="K182" s="196" t="str">
        <f t="shared" si="1"/>
        <v/>
      </c>
      <c r="L182" s="196" t="str">
        <f t="shared" si="2"/>
        <v/>
      </c>
      <c r="M182" s="197" t="str">
        <f t="shared" si="9"/>
        <v/>
      </c>
      <c r="N182" s="198" t="str">
        <f t="shared" si="3"/>
        <v/>
      </c>
      <c r="O182" s="198" t="str">
        <f t="shared" si="10"/>
        <v/>
      </c>
      <c r="P182" s="198"/>
      <c r="Q182" s="198">
        <f t="shared" si="4"/>
        <v>0</v>
      </c>
      <c r="R182" s="198">
        <f t="shared" si="5"/>
        <v>0</v>
      </c>
      <c r="S182" s="199">
        <f t="shared" si="6"/>
        <v>0</v>
      </c>
      <c r="T182" s="198">
        <f t="shared" si="7"/>
        <v>0</v>
      </c>
      <c r="U182" s="198"/>
      <c r="V182" s="198"/>
      <c r="W182" s="198">
        <f t="shared" si="8"/>
        <v>0</v>
      </c>
      <c r="X182" s="200"/>
    </row>
    <row r="183">
      <c r="A183" s="135"/>
      <c r="B183" s="135"/>
      <c r="C183" s="195"/>
      <c r="D183" s="195"/>
      <c r="E183" s="135" t="str">
        <f>IFERROR(VLOOKUP(C183,'Công T5'!$C$7:$F$89,4,0),"")</f>
        <v/>
      </c>
      <c r="F183" s="137" t="str">
        <f>IFERROR(__xludf.DUMMYFUNCTION("INDEX(FILTER('Công T5'!$B$8:$C$89,'Công T5'!$C$8:$C$89=C183),1,1)"),"")</f>
        <v/>
      </c>
      <c r="G183" s="138" t="str">
        <f>IFERROR(__xludf.DUMMYFUNCTION("IFERROR(INDEX(FILTER('Vân tay'!$A$5:$O270,'Vân tay'!$C$5:$C270=F183,'Vân tay'!$B$5:$B270=D183),1,10),"""")"),"")</f>
        <v/>
      </c>
      <c r="H183" s="138" t="str">
        <f>IFERROR(__xludf.DUMMYFUNCTION("IFERROR(INDEX(FILTER('Vân tay'!$A$5:$O270,'Vân tay'!$C$5:$C270=F183,'Vân tay'!$B$5:$B270=D183),1,11),"""")"),"")</f>
        <v/>
      </c>
      <c r="I183" s="138" t="str">
        <f>IFERROR(__xludf.DUMMYFUNCTION("IFERROR(INDEX(FILTER('Vân tay'!$A$5:$O270,'Vân tay'!$C$5:$C270=F183,'Vân tay'!$B$5:$B270=D183),1,14),"""")"),"")</f>
        <v/>
      </c>
      <c r="J183" s="138" t="str">
        <f>IFERROR(__xludf.DUMMYFUNCTION("IFERROR(INDEX(FILTER('Vân tay'!$A$5:$O270,'Vân tay'!$C$5:$C270=F183,'Vân tay'!$B$5:$B270=D183),1,15),"""")"),"")</f>
        <v/>
      </c>
      <c r="K183" s="196" t="str">
        <f t="shared" si="1"/>
        <v/>
      </c>
      <c r="L183" s="196" t="str">
        <f t="shared" si="2"/>
        <v/>
      </c>
      <c r="M183" s="197" t="str">
        <f t="shared" si="9"/>
        <v/>
      </c>
      <c r="N183" s="198" t="str">
        <f t="shared" si="3"/>
        <v/>
      </c>
      <c r="O183" s="198" t="str">
        <f t="shared" si="10"/>
        <v/>
      </c>
      <c r="P183" s="198"/>
      <c r="Q183" s="198">
        <f t="shared" si="4"/>
        <v>0</v>
      </c>
      <c r="R183" s="198">
        <f t="shared" si="5"/>
        <v>0</v>
      </c>
      <c r="S183" s="199">
        <f t="shared" si="6"/>
        <v>0</v>
      </c>
      <c r="T183" s="198">
        <f t="shared" si="7"/>
        <v>0</v>
      </c>
      <c r="U183" s="198"/>
      <c r="V183" s="198"/>
      <c r="W183" s="198">
        <f t="shared" si="8"/>
        <v>0</v>
      </c>
      <c r="X183" s="200"/>
    </row>
    <row r="184">
      <c r="A184" s="135"/>
      <c r="B184" s="135"/>
      <c r="C184" s="195"/>
      <c r="D184" s="195"/>
      <c r="E184" s="135" t="str">
        <f>IFERROR(VLOOKUP(C184,'Công T5'!$C$7:$F$89,4,0),"")</f>
        <v/>
      </c>
      <c r="F184" s="137" t="str">
        <f>IFERROR(__xludf.DUMMYFUNCTION("INDEX(FILTER('Công T5'!$B$8:$C$89,'Công T5'!$C$8:$C$89=C184),1,1)"),"")</f>
        <v/>
      </c>
      <c r="G184" s="138" t="str">
        <f>IFERROR(__xludf.DUMMYFUNCTION("IFERROR(INDEX(FILTER('Vân tay'!$A$5:$O270,'Vân tay'!$C$5:$C270=F184,'Vân tay'!$B$5:$B270=D184),1,10),"""")"),"")</f>
        <v/>
      </c>
      <c r="H184" s="138" t="str">
        <f>IFERROR(__xludf.DUMMYFUNCTION("IFERROR(INDEX(FILTER('Vân tay'!$A$5:$O270,'Vân tay'!$C$5:$C270=F184,'Vân tay'!$B$5:$B270=D184),1,11),"""")"),"")</f>
        <v/>
      </c>
      <c r="I184" s="138" t="str">
        <f>IFERROR(__xludf.DUMMYFUNCTION("IFERROR(INDEX(FILTER('Vân tay'!$A$5:$O270,'Vân tay'!$C$5:$C270=F184,'Vân tay'!$B$5:$B270=D184),1,14),"""")"),"")</f>
        <v/>
      </c>
      <c r="J184" s="138" t="str">
        <f>IFERROR(__xludf.DUMMYFUNCTION("IFERROR(INDEX(FILTER('Vân tay'!$A$5:$O270,'Vân tay'!$C$5:$C270=F184,'Vân tay'!$B$5:$B270=D184),1,15),"""")"),"")</f>
        <v/>
      </c>
      <c r="K184" s="196" t="str">
        <f t="shared" si="1"/>
        <v/>
      </c>
      <c r="L184" s="196" t="str">
        <f t="shared" si="2"/>
        <v/>
      </c>
      <c r="M184" s="197" t="str">
        <f t="shared" si="9"/>
        <v/>
      </c>
      <c r="N184" s="198" t="str">
        <f t="shared" si="3"/>
        <v/>
      </c>
      <c r="O184" s="198" t="str">
        <f t="shared" si="10"/>
        <v/>
      </c>
      <c r="P184" s="198"/>
      <c r="Q184" s="198">
        <f t="shared" si="4"/>
        <v>0</v>
      </c>
      <c r="R184" s="198">
        <f t="shared" si="5"/>
        <v>0</v>
      </c>
      <c r="S184" s="199">
        <f t="shared" si="6"/>
        <v>0</v>
      </c>
      <c r="T184" s="198">
        <f t="shared" si="7"/>
        <v>0</v>
      </c>
      <c r="U184" s="198"/>
      <c r="V184" s="198"/>
      <c r="W184" s="198">
        <f t="shared" si="8"/>
        <v>0</v>
      </c>
      <c r="X184" s="200"/>
    </row>
    <row r="185">
      <c r="A185" s="135"/>
      <c r="B185" s="135"/>
      <c r="C185" s="195"/>
      <c r="D185" s="195"/>
      <c r="E185" s="135" t="str">
        <f>IFERROR(VLOOKUP(C185,'Công T5'!$C$7:$F$89,4,0),"")</f>
        <v/>
      </c>
      <c r="F185" s="137" t="str">
        <f>IFERROR(__xludf.DUMMYFUNCTION("INDEX(FILTER('Công T5'!$B$8:$C$89,'Công T5'!$C$8:$C$89=C185),1,1)"),"")</f>
        <v/>
      </c>
      <c r="G185" s="138" t="str">
        <f>IFERROR(__xludf.DUMMYFUNCTION("IFERROR(INDEX(FILTER('Vân tay'!$A$5:$O270,'Vân tay'!$C$5:$C270=F185,'Vân tay'!$B$5:$B270=D185),1,10),"""")"),"")</f>
        <v/>
      </c>
      <c r="H185" s="138" t="str">
        <f>IFERROR(__xludf.DUMMYFUNCTION("IFERROR(INDEX(FILTER('Vân tay'!$A$5:$O270,'Vân tay'!$C$5:$C270=F185,'Vân tay'!$B$5:$B270=D185),1,11),"""")"),"")</f>
        <v/>
      </c>
      <c r="I185" s="138" t="str">
        <f>IFERROR(__xludf.DUMMYFUNCTION("IFERROR(INDEX(FILTER('Vân tay'!$A$5:$O270,'Vân tay'!$C$5:$C270=F185,'Vân tay'!$B$5:$B270=D185),1,14),"""")"),"")</f>
        <v/>
      </c>
      <c r="J185" s="138" t="str">
        <f>IFERROR(__xludf.DUMMYFUNCTION("IFERROR(INDEX(FILTER('Vân tay'!$A$5:$O270,'Vân tay'!$C$5:$C270=F185,'Vân tay'!$B$5:$B270=D185),1,15),"""")"),"")</f>
        <v/>
      </c>
      <c r="K185" s="196" t="str">
        <f t="shared" si="1"/>
        <v/>
      </c>
      <c r="L185" s="196" t="str">
        <f t="shared" si="2"/>
        <v/>
      </c>
      <c r="M185" s="197" t="str">
        <f t="shared" si="9"/>
        <v/>
      </c>
      <c r="N185" s="198" t="str">
        <f t="shared" si="3"/>
        <v/>
      </c>
      <c r="O185" s="198" t="str">
        <f t="shared" si="10"/>
        <v/>
      </c>
      <c r="P185" s="198"/>
      <c r="Q185" s="198">
        <f t="shared" si="4"/>
        <v>0</v>
      </c>
      <c r="R185" s="198">
        <f t="shared" si="5"/>
        <v>0</v>
      </c>
      <c r="S185" s="199">
        <f t="shared" si="6"/>
        <v>0</v>
      </c>
      <c r="T185" s="198">
        <f t="shared" si="7"/>
        <v>0</v>
      </c>
      <c r="U185" s="198"/>
      <c r="V185" s="198"/>
      <c r="W185" s="198">
        <f t="shared" si="8"/>
        <v>0</v>
      </c>
      <c r="X185" s="200"/>
    </row>
    <row r="186">
      <c r="A186" s="135"/>
      <c r="B186" s="135"/>
      <c r="C186" s="195"/>
      <c r="D186" s="195"/>
      <c r="E186" s="135" t="str">
        <f>IFERROR(VLOOKUP(C186,'Công T5'!$C$7:$F$89,4,0),"")</f>
        <v/>
      </c>
      <c r="F186" s="137" t="str">
        <f>IFERROR(__xludf.DUMMYFUNCTION("INDEX(FILTER('Công T5'!$B$8:$C$89,'Công T5'!$C$8:$C$89=C186),1,1)"),"")</f>
        <v/>
      </c>
      <c r="G186" s="138" t="str">
        <f>IFERROR(__xludf.DUMMYFUNCTION("IFERROR(INDEX(FILTER('Vân tay'!$A$5:$O270,'Vân tay'!$C$5:$C270=F186,'Vân tay'!$B$5:$B270=D186),1,10),"""")"),"")</f>
        <v/>
      </c>
      <c r="H186" s="138" t="str">
        <f>IFERROR(__xludf.DUMMYFUNCTION("IFERROR(INDEX(FILTER('Vân tay'!$A$5:$O270,'Vân tay'!$C$5:$C270=F186,'Vân tay'!$B$5:$B270=D186),1,11),"""")"),"")</f>
        <v/>
      </c>
      <c r="I186" s="138" t="str">
        <f>IFERROR(__xludf.DUMMYFUNCTION("IFERROR(INDEX(FILTER('Vân tay'!$A$5:$O270,'Vân tay'!$C$5:$C270=F186,'Vân tay'!$B$5:$B270=D186),1,14),"""")"),"")</f>
        <v/>
      </c>
      <c r="J186" s="138" t="str">
        <f>IFERROR(__xludf.DUMMYFUNCTION("IFERROR(INDEX(FILTER('Vân tay'!$A$5:$O270,'Vân tay'!$C$5:$C270=F186,'Vân tay'!$B$5:$B270=D186),1,15),"""")"),"")</f>
        <v/>
      </c>
      <c r="K186" s="196" t="str">
        <f t="shared" si="1"/>
        <v/>
      </c>
      <c r="L186" s="196" t="str">
        <f t="shared" si="2"/>
        <v/>
      </c>
      <c r="M186" s="197" t="str">
        <f t="shared" si="9"/>
        <v/>
      </c>
      <c r="N186" s="198" t="str">
        <f t="shared" si="3"/>
        <v/>
      </c>
      <c r="O186" s="198" t="str">
        <f t="shared" si="10"/>
        <v/>
      </c>
      <c r="P186" s="198"/>
      <c r="Q186" s="198">
        <f t="shared" si="4"/>
        <v>0</v>
      </c>
      <c r="R186" s="198">
        <f t="shared" si="5"/>
        <v>0</v>
      </c>
      <c r="S186" s="199">
        <f t="shared" si="6"/>
        <v>0</v>
      </c>
      <c r="T186" s="198">
        <f t="shared" si="7"/>
        <v>0</v>
      </c>
      <c r="U186" s="198"/>
      <c r="V186" s="198"/>
      <c r="W186" s="198">
        <f t="shared" si="8"/>
        <v>0</v>
      </c>
      <c r="X186" s="200"/>
    </row>
    <row r="187">
      <c r="A187" s="135"/>
      <c r="B187" s="135"/>
      <c r="C187" s="135"/>
      <c r="D187" s="195"/>
      <c r="E187" s="135" t="str">
        <f>IFERROR(VLOOKUP(C187,'Công T5'!$C$7:$F$89,4,0),"")</f>
        <v/>
      </c>
      <c r="F187" s="137" t="str">
        <f>IFERROR(__xludf.DUMMYFUNCTION("INDEX(FILTER('Công T5'!$B$8:$C$89,'Công T5'!$C$8:$C$89=C187),1,1)"),"")</f>
        <v/>
      </c>
      <c r="G187" s="138" t="str">
        <f>IFERROR(__xludf.DUMMYFUNCTION("IFERROR(INDEX(FILTER('Vân tay'!$A$5:$O270,'Vân tay'!$C$5:$C270=F187,'Vân tay'!$B$5:$B270=D187),1,10),"""")"),"")</f>
        <v/>
      </c>
      <c r="H187" s="138" t="str">
        <f>IFERROR(__xludf.DUMMYFUNCTION("IFERROR(INDEX(FILTER('Vân tay'!$A$5:$O270,'Vân tay'!$C$5:$C270=F187,'Vân tay'!$B$5:$B270=D187),1,11),"""")"),"")</f>
        <v/>
      </c>
      <c r="I187" s="138" t="str">
        <f>IFERROR(__xludf.DUMMYFUNCTION("IFERROR(INDEX(FILTER('Vân tay'!$A$5:$O270,'Vân tay'!$C$5:$C270=F187,'Vân tay'!$B$5:$B270=D187),1,14),"""")"),"")</f>
        <v/>
      </c>
      <c r="J187" s="138" t="str">
        <f>IFERROR(__xludf.DUMMYFUNCTION("IFERROR(INDEX(FILTER('Vân tay'!$A$5:$O270,'Vân tay'!$C$5:$C270=F187,'Vân tay'!$B$5:$B270=D187),1,15),"""")"),"")</f>
        <v/>
      </c>
      <c r="K187" s="196" t="str">
        <f t="shared" si="1"/>
        <v/>
      </c>
      <c r="L187" s="196" t="str">
        <f t="shared" si="2"/>
        <v/>
      </c>
      <c r="M187" s="197" t="str">
        <f t="shared" si="9"/>
        <v/>
      </c>
      <c r="N187" s="198" t="str">
        <f t="shared" si="3"/>
        <v/>
      </c>
      <c r="O187" s="198" t="str">
        <f t="shared" si="10"/>
        <v/>
      </c>
      <c r="P187" s="198"/>
      <c r="Q187" s="198">
        <f t="shared" si="4"/>
        <v>0</v>
      </c>
      <c r="R187" s="198">
        <f t="shared" si="5"/>
        <v>0</v>
      </c>
      <c r="S187" s="199">
        <f t="shared" si="6"/>
        <v>0</v>
      </c>
      <c r="T187" s="198">
        <f t="shared" si="7"/>
        <v>0</v>
      </c>
      <c r="U187" s="198"/>
      <c r="V187" s="198"/>
      <c r="W187" s="198">
        <f t="shared" si="8"/>
        <v>0</v>
      </c>
      <c r="X187" s="200"/>
    </row>
    <row r="188">
      <c r="A188" s="135"/>
      <c r="B188" s="135"/>
      <c r="C188" s="135"/>
      <c r="D188" s="195"/>
      <c r="E188" s="135" t="str">
        <f>IFERROR(VLOOKUP(C188,'Công T5'!$C$7:$F$89,4,0),"")</f>
        <v/>
      </c>
      <c r="F188" s="137" t="str">
        <f>IFERROR(__xludf.DUMMYFUNCTION("INDEX(FILTER('Công T5'!$B$8:$C$89,'Công T5'!$C$8:$C$89=C188),1,1)"),"")</f>
        <v/>
      </c>
      <c r="G188" s="138" t="str">
        <f>IFERROR(__xludf.DUMMYFUNCTION("IFERROR(INDEX(FILTER('Vân tay'!$A$5:$O270,'Vân tay'!$C$5:$C270=F188,'Vân tay'!$B$5:$B270=D188),1,10),"""")"),"")</f>
        <v/>
      </c>
      <c r="H188" s="138" t="str">
        <f>IFERROR(__xludf.DUMMYFUNCTION("IFERROR(INDEX(FILTER('Vân tay'!$A$5:$O270,'Vân tay'!$C$5:$C270=F188,'Vân tay'!$B$5:$B270=D188),1,11),"""")"),"")</f>
        <v/>
      </c>
      <c r="I188" s="138" t="str">
        <f>IFERROR(__xludf.DUMMYFUNCTION("IFERROR(INDEX(FILTER('Vân tay'!$A$5:$O270,'Vân tay'!$C$5:$C270=F188,'Vân tay'!$B$5:$B270=D188),1,14),"""")"),"")</f>
        <v/>
      </c>
      <c r="J188" s="138" t="str">
        <f>IFERROR(__xludf.DUMMYFUNCTION("IFERROR(INDEX(FILTER('Vân tay'!$A$5:$O270,'Vân tay'!$C$5:$C270=F188,'Vân tay'!$B$5:$B270=D188),1,15),"""")"),"")</f>
        <v/>
      </c>
      <c r="K188" s="196" t="str">
        <f t="shared" si="1"/>
        <v/>
      </c>
      <c r="L188" s="196" t="str">
        <f t="shared" si="2"/>
        <v/>
      </c>
      <c r="M188" s="197" t="str">
        <f t="shared" si="9"/>
        <v/>
      </c>
      <c r="N188" s="198" t="str">
        <f t="shared" si="3"/>
        <v/>
      </c>
      <c r="O188" s="198" t="str">
        <f t="shared" si="10"/>
        <v/>
      </c>
      <c r="P188" s="198"/>
      <c r="Q188" s="198">
        <f t="shared" si="4"/>
        <v>0</v>
      </c>
      <c r="R188" s="198">
        <f t="shared" si="5"/>
        <v>0</v>
      </c>
      <c r="S188" s="199">
        <f t="shared" si="6"/>
        <v>0</v>
      </c>
      <c r="T188" s="198">
        <f t="shared" si="7"/>
        <v>0</v>
      </c>
      <c r="U188" s="198"/>
      <c r="V188" s="198"/>
      <c r="W188" s="198">
        <f t="shared" si="8"/>
        <v>0</v>
      </c>
      <c r="X188" s="200"/>
    </row>
    <row r="189">
      <c r="A189" s="135"/>
      <c r="B189" s="135"/>
      <c r="C189" s="135"/>
      <c r="D189" s="195"/>
      <c r="E189" s="135" t="str">
        <f>IFERROR(VLOOKUP(C189,'Công T5'!$C$7:$F$89,4,0),"")</f>
        <v/>
      </c>
      <c r="F189" s="137" t="str">
        <f>IFERROR(__xludf.DUMMYFUNCTION("INDEX(FILTER('Công T5'!$B$8:$C$89,'Công T5'!$C$8:$C$89=C189),1,1)"),"")</f>
        <v/>
      </c>
      <c r="G189" s="138" t="str">
        <f>IFERROR(__xludf.DUMMYFUNCTION("IFERROR(INDEX(FILTER('Vân tay'!$A$5:$O270,'Vân tay'!$C$5:$C270=F189,'Vân tay'!$B$5:$B270=D189),1,10),"""")"),"")</f>
        <v/>
      </c>
      <c r="H189" s="138" t="str">
        <f>IFERROR(__xludf.DUMMYFUNCTION("IFERROR(INDEX(FILTER('Vân tay'!$A$5:$O270,'Vân tay'!$C$5:$C270=F189,'Vân tay'!$B$5:$B270=D189),1,11),"""")"),"")</f>
        <v/>
      </c>
      <c r="I189" s="138" t="str">
        <f>IFERROR(__xludf.DUMMYFUNCTION("IFERROR(INDEX(FILTER('Vân tay'!$A$5:$O270,'Vân tay'!$C$5:$C270=F189,'Vân tay'!$B$5:$B270=D189),1,14),"""")"),"")</f>
        <v/>
      </c>
      <c r="J189" s="138" t="str">
        <f>IFERROR(__xludf.DUMMYFUNCTION("IFERROR(INDEX(FILTER('Vân tay'!$A$5:$O270,'Vân tay'!$C$5:$C270=F189,'Vân tay'!$B$5:$B270=D189),1,15),"""")"),"")</f>
        <v/>
      </c>
      <c r="K189" s="196" t="str">
        <f t="shared" si="1"/>
        <v/>
      </c>
      <c r="L189" s="196" t="str">
        <f t="shared" si="2"/>
        <v/>
      </c>
      <c r="M189" s="197" t="str">
        <f t="shared" si="9"/>
        <v/>
      </c>
      <c r="N189" s="198" t="str">
        <f t="shared" si="3"/>
        <v/>
      </c>
      <c r="O189" s="198" t="str">
        <f t="shared" si="10"/>
        <v/>
      </c>
      <c r="P189" s="198"/>
      <c r="Q189" s="198">
        <f t="shared" si="4"/>
        <v>0</v>
      </c>
      <c r="R189" s="198">
        <f t="shared" si="5"/>
        <v>0</v>
      </c>
      <c r="S189" s="199">
        <f t="shared" si="6"/>
        <v>0</v>
      </c>
      <c r="T189" s="198">
        <f t="shared" si="7"/>
        <v>0</v>
      </c>
      <c r="U189" s="198"/>
      <c r="V189" s="198"/>
      <c r="W189" s="198">
        <f t="shared" si="8"/>
        <v>0</v>
      </c>
      <c r="X189" s="200"/>
    </row>
    <row r="190">
      <c r="A190" s="135"/>
      <c r="B190" s="135"/>
      <c r="C190" s="135"/>
      <c r="D190" s="195"/>
      <c r="E190" s="135" t="str">
        <f>IFERROR(VLOOKUP(C190,'Công T5'!$C$7:$F$89,4,0),"")</f>
        <v/>
      </c>
      <c r="F190" s="137" t="str">
        <f>IFERROR(__xludf.DUMMYFUNCTION("INDEX(FILTER('Công T5'!$B$8:$C$89,'Công T5'!$C$8:$C$89=C190),1,1)"),"")</f>
        <v/>
      </c>
      <c r="G190" s="138" t="str">
        <f>IFERROR(__xludf.DUMMYFUNCTION("IFERROR(INDEX(FILTER('Vân tay'!$A$5:$O270,'Vân tay'!$C$5:$C270=F190,'Vân tay'!$B$5:$B270=D190),1,10),"""")"),"")</f>
        <v/>
      </c>
      <c r="H190" s="138" t="str">
        <f>IFERROR(__xludf.DUMMYFUNCTION("IFERROR(INDEX(FILTER('Vân tay'!$A$5:$O270,'Vân tay'!$C$5:$C270=F190,'Vân tay'!$B$5:$B270=D190),1,11),"""")"),"")</f>
        <v/>
      </c>
      <c r="I190" s="138" t="str">
        <f>IFERROR(__xludf.DUMMYFUNCTION("IFERROR(INDEX(FILTER('Vân tay'!$A$5:$O270,'Vân tay'!$C$5:$C270=F190,'Vân tay'!$B$5:$B270=D190),1,14),"""")"),"")</f>
        <v/>
      </c>
      <c r="J190" s="138" t="str">
        <f>IFERROR(__xludf.DUMMYFUNCTION("IFERROR(INDEX(FILTER('Vân tay'!$A$5:$O270,'Vân tay'!$C$5:$C270=F190,'Vân tay'!$B$5:$B270=D190),1,15),"""")"),"")</f>
        <v/>
      </c>
      <c r="K190" s="196" t="str">
        <f t="shared" si="1"/>
        <v/>
      </c>
      <c r="L190" s="196" t="str">
        <f t="shared" si="2"/>
        <v/>
      </c>
      <c r="M190" s="197" t="str">
        <f t="shared" si="9"/>
        <v/>
      </c>
      <c r="N190" s="198" t="str">
        <f t="shared" si="3"/>
        <v/>
      </c>
      <c r="O190" s="198" t="str">
        <f t="shared" si="10"/>
        <v/>
      </c>
      <c r="P190" s="198"/>
      <c r="Q190" s="198">
        <f t="shared" si="4"/>
        <v>0</v>
      </c>
      <c r="R190" s="198">
        <f t="shared" si="5"/>
        <v>0</v>
      </c>
      <c r="S190" s="199">
        <f t="shared" si="6"/>
        <v>0</v>
      </c>
      <c r="T190" s="198">
        <f t="shared" si="7"/>
        <v>0</v>
      </c>
      <c r="U190" s="198"/>
      <c r="V190" s="198"/>
      <c r="W190" s="198">
        <f t="shared" si="8"/>
        <v>0</v>
      </c>
      <c r="X190" s="200"/>
    </row>
    <row r="191">
      <c r="A191" s="135"/>
      <c r="B191" s="135"/>
      <c r="C191" s="135"/>
      <c r="D191" s="195"/>
      <c r="E191" s="135" t="str">
        <f>IFERROR(VLOOKUP(C191,'Công T5'!$C$7:$F$89,4,0),"")</f>
        <v/>
      </c>
      <c r="F191" s="137" t="str">
        <f>IFERROR(__xludf.DUMMYFUNCTION("INDEX(FILTER('Công T5'!$B$8:$C$89,'Công T5'!$C$8:$C$89=C191),1,1)"),"")</f>
        <v/>
      </c>
      <c r="G191" s="138" t="str">
        <f>IFERROR(__xludf.DUMMYFUNCTION("IFERROR(INDEX(FILTER('Vân tay'!$A$5:$O270,'Vân tay'!$C$5:$C270=F191,'Vân tay'!$B$5:$B270=D191),1,10),"""")"),"")</f>
        <v/>
      </c>
      <c r="H191" s="138" t="str">
        <f>IFERROR(__xludf.DUMMYFUNCTION("IFERROR(INDEX(FILTER('Vân tay'!$A$5:$O270,'Vân tay'!$C$5:$C270=F191,'Vân tay'!$B$5:$B270=D191),1,11),"""")"),"")</f>
        <v/>
      </c>
      <c r="I191" s="138" t="str">
        <f>IFERROR(__xludf.DUMMYFUNCTION("IFERROR(INDEX(FILTER('Vân tay'!$A$5:$O270,'Vân tay'!$C$5:$C270=F191,'Vân tay'!$B$5:$B270=D191),1,14),"""")"),"")</f>
        <v/>
      </c>
      <c r="J191" s="138" t="str">
        <f>IFERROR(__xludf.DUMMYFUNCTION("IFERROR(INDEX(FILTER('Vân tay'!$A$5:$O270,'Vân tay'!$C$5:$C270=F191,'Vân tay'!$B$5:$B270=D191),1,15),"""")"),"")</f>
        <v/>
      </c>
      <c r="K191" s="196" t="str">
        <f t="shared" si="1"/>
        <v/>
      </c>
      <c r="L191" s="196" t="str">
        <f t="shared" si="2"/>
        <v/>
      </c>
      <c r="M191" s="197" t="str">
        <f t="shared" si="9"/>
        <v/>
      </c>
      <c r="N191" s="198" t="str">
        <f t="shared" si="3"/>
        <v/>
      </c>
      <c r="O191" s="198" t="str">
        <f t="shared" si="10"/>
        <v/>
      </c>
      <c r="P191" s="198"/>
      <c r="Q191" s="198">
        <f t="shared" si="4"/>
        <v>0</v>
      </c>
      <c r="R191" s="198">
        <f t="shared" si="5"/>
        <v>0</v>
      </c>
      <c r="S191" s="199">
        <f t="shared" si="6"/>
        <v>0</v>
      </c>
      <c r="T191" s="198">
        <f t="shared" si="7"/>
        <v>0</v>
      </c>
      <c r="U191" s="198"/>
      <c r="V191" s="198"/>
      <c r="W191" s="198">
        <f t="shared" si="8"/>
        <v>0</v>
      </c>
      <c r="X191" s="200"/>
    </row>
    <row r="192">
      <c r="A192" s="135"/>
      <c r="B192" s="135"/>
      <c r="C192" s="135"/>
      <c r="D192" s="195"/>
      <c r="E192" s="135" t="str">
        <f>IFERROR(VLOOKUP(C192,'Công T5'!$C$7:$F$89,4,0),"")</f>
        <v/>
      </c>
      <c r="F192" s="137" t="str">
        <f>IFERROR(__xludf.DUMMYFUNCTION("INDEX(FILTER('Công T5'!$B$8:$C$89,'Công T5'!$C$8:$C$89=C192),1,1)"),"")</f>
        <v/>
      </c>
      <c r="G192" s="138" t="str">
        <f>IFERROR(__xludf.DUMMYFUNCTION("IFERROR(INDEX(FILTER('Vân tay'!$A$5:$O270,'Vân tay'!$C$5:$C270=F192,'Vân tay'!$B$5:$B270=D192),1,10),"""")"),"")</f>
        <v/>
      </c>
      <c r="H192" s="138" t="str">
        <f>IFERROR(__xludf.DUMMYFUNCTION("IFERROR(INDEX(FILTER('Vân tay'!$A$5:$O270,'Vân tay'!$C$5:$C270=F192,'Vân tay'!$B$5:$B270=D192),1,11),"""")"),"")</f>
        <v/>
      </c>
      <c r="I192" s="138" t="str">
        <f>IFERROR(__xludf.DUMMYFUNCTION("IFERROR(INDEX(FILTER('Vân tay'!$A$5:$O270,'Vân tay'!$C$5:$C270=F192,'Vân tay'!$B$5:$B270=D192),1,14),"""")"),"")</f>
        <v/>
      </c>
      <c r="J192" s="138" t="str">
        <f>IFERROR(__xludf.DUMMYFUNCTION("IFERROR(INDEX(FILTER('Vân tay'!$A$5:$O270,'Vân tay'!$C$5:$C270=F192,'Vân tay'!$B$5:$B270=D192),1,15),"""")"),"")</f>
        <v/>
      </c>
      <c r="K192" s="196" t="str">
        <f t="shared" si="1"/>
        <v/>
      </c>
      <c r="L192" s="196" t="str">
        <f t="shared" si="2"/>
        <v/>
      </c>
      <c r="M192" s="197" t="str">
        <f t="shared" si="9"/>
        <v/>
      </c>
      <c r="N192" s="198" t="str">
        <f t="shared" si="3"/>
        <v/>
      </c>
      <c r="O192" s="198" t="str">
        <f t="shared" si="10"/>
        <v/>
      </c>
      <c r="P192" s="198"/>
      <c r="Q192" s="198">
        <f t="shared" si="4"/>
        <v>0</v>
      </c>
      <c r="R192" s="198">
        <f t="shared" si="5"/>
        <v>0</v>
      </c>
      <c r="S192" s="199">
        <f t="shared" si="6"/>
        <v>0</v>
      </c>
      <c r="T192" s="198">
        <f t="shared" si="7"/>
        <v>0</v>
      </c>
      <c r="U192" s="198"/>
      <c r="V192" s="198"/>
      <c r="W192" s="198">
        <f t="shared" si="8"/>
        <v>0</v>
      </c>
      <c r="X192" s="200"/>
    </row>
    <row r="193">
      <c r="A193" s="135"/>
      <c r="B193" s="135"/>
      <c r="C193" s="195"/>
      <c r="D193" s="195"/>
      <c r="E193" s="135" t="str">
        <f>IFERROR(VLOOKUP(C193,'Công T5'!$C$7:$F$89,4,0),"")</f>
        <v/>
      </c>
      <c r="F193" s="137" t="str">
        <f>IFERROR(__xludf.DUMMYFUNCTION("INDEX(FILTER('Công T5'!$B$8:$C$89,'Công T5'!$C$8:$C$89=C193),1,1)"),"")</f>
        <v/>
      </c>
      <c r="G193" s="138" t="str">
        <f>IFERROR(__xludf.DUMMYFUNCTION("IFERROR(INDEX(FILTER('Vân tay'!$A$5:$O270,'Vân tay'!$C$5:$C270=F193,'Vân tay'!$B$5:$B270=D193),1,10),"""")"),"")</f>
        <v/>
      </c>
      <c r="H193" s="138" t="str">
        <f>IFERROR(__xludf.DUMMYFUNCTION("IFERROR(INDEX(FILTER('Vân tay'!$A$5:$O270,'Vân tay'!$C$5:$C270=F193,'Vân tay'!$B$5:$B270=D193),1,11),"""")"),"")</f>
        <v/>
      </c>
      <c r="I193" s="138" t="str">
        <f>IFERROR(__xludf.DUMMYFUNCTION("IFERROR(INDEX(FILTER('Vân tay'!$A$5:$O270,'Vân tay'!$C$5:$C270=F193,'Vân tay'!$B$5:$B270=D193),1,14),"""")"),"")</f>
        <v/>
      </c>
      <c r="J193" s="138" t="str">
        <f>IFERROR(__xludf.DUMMYFUNCTION("IFERROR(INDEX(FILTER('Vân tay'!$A$5:$O270,'Vân tay'!$C$5:$C270=F193,'Vân tay'!$B$5:$B270=D193),1,15),"""")"),"")</f>
        <v/>
      </c>
      <c r="K193" s="196" t="str">
        <f t="shared" si="1"/>
        <v/>
      </c>
      <c r="L193" s="196" t="str">
        <f t="shared" si="2"/>
        <v/>
      </c>
      <c r="M193" s="197" t="str">
        <f t="shared" si="9"/>
        <v/>
      </c>
      <c r="N193" s="198" t="str">
        <f t="shared" si="3"/>
        <v/>
      </c>
      <c r="O193" s="198" t="str">
        <f t="shared" si="10"/>
        <v/>
      </c>
      <c r="P193" s="198"/>
      <c r="Q193" s="198">
        <f t="shared" si="4"/>
        <v>0</v>
      </c>
      <c r="R193" s="198">
        <f t="shared" si="5"/>
        <v>0</v>
      </c>
      <c r="S193" s="199">
        <f t="shared" si="6"/>
        <v>0</v>
      </c>
      <c r="T193" s="198">
        <f t="shared" si="7"/>
        <v>0</v>
      </c>
      <c r="U193" s="198"/>
      <c r="V193" s="198"/>
      <c r="W193" s="198">
        <f t="shared" si="8"/>
        <v>0</v>
      </c>
      <c r="X193" s="200"/>
    </row>
    <row r="194">
      <c r="A194" s="135"/>
      <c r="B194" s="135"/>
      <c r="C194" s="135"/>
      <c r="D194" s="195"/>
      <c r="E194" s="135" t="str">
        <f>IFERROR(VLOOKUP(C194,'Công T5'!$C$7:$F$89,4,0),"")</f>
        <v/>
      </c>
      <c r="F194" s="137" t="str">
        <f>IFERROR(__xludf.DUMMYFUNCTION("INDEX(FILTER('Công T5'!$B$8:$C$89,'Công T5'!$C$8:$C$89=C194),1,1)"),"")</f>
        <v/>
      </c>
      <c r="G194" s="138" t="str">
        <f>IFERROR(__xludf.DUMMYFUNCTION("IFERROR(INDEX(FILTER('Vân tay'!$A$5:$O270,'Vân tay'!$C$5:$C270=F194,'Vân tay'!$B$5:$B270=D194),1,10),"""")"),"")</f>
        <v/>
      </c>
      <c r="H194" s="138" t="str">
        <f>IFERROR(__xludf.DUMMYFUNCTION("IFERROR(INDEX(FILTER('Vân tay'!$A$5:$O270,'Vân tay'!$C$5:$C270=F194,'Vân tay'!$B$5:$B270=D194),1,11),"""")"),"")</f>
        <v/>
      </c>
      <c r="I194" s="138" t="str">
        <f>IFERROR(__xludf.DUMMYFUNCTION("IFERROR(INDEX(FILTER('Vân tay'!$A$5:$O270,'Vân tay'!$C$5:$C270=F194,'Vân tay'!$B$5:$B270=D194),1,14),"""")"),"")</f>
        <v/>
      </c>
      <c r="J194" s="138" t="str">
        <f>IFERROR(__xludf.DUMMYFUNCTION("IFERROR(INDEX(FILTER('Vân tay'!$A$5:$O270,'Vân tay'!$C$5:$C270=F194,'Vân tay'!$B$5:$B270=D194),1,15),"""")"),"")</f>
        <v/>
      </c>
      <c r="K194" s="196" t="str">
        <f t="shared" si="1"/>
        <v/>
      </c>
      <c r="L194" s="196" t="str">
        <f t="shared" si="2"/>
        <v/>
      </c>
      <c r="M194" s="197" t="str">
        <f t="shared" si="9"/>
        <v/>
      </c>
      <c r="N194" s="198" t="str">
        <f t="shared" si="3"/>
        <v/>
      </c>
      <c r="O194" s="198" t="str">
        <f t="shared" si="10"/>
        <v/>
      </c>
      <c r="P194" s="198"/>
      <c r="Q194" s="198">
        <f t="shared" si="4"/>
        <v>0</v>
      </c>
      <c r="R194" s="198">
        <f t="shared" si="5"/>
        <v>0</v>
      </c>
      <c r="S194" s="199">
        <f t="shared" si="6"/>
        <v>0</v>
      </c>
      <c r="T194" s="198">
        <f t="shared" si="7"/>
        <v>0</v>
      </c>
      <c r="U194" s="198"/>
      <c r="V194" s="198"/>
      <c r="W194" s="198">
        <f t="shared" si="8"/>
        <v>0</v>
      </c>
      <c r="X194" s="200"/>
    </row>
    <row r="195">
      <c r="A195" s="135"/>
      <c r="B195" s="135"/>
      <c r="C195" s="135"/>
      <c r="D195" s="195"/>
      <c r="E195" s="135" t="str">
        <f>IFERROR(VLOOKUP(C195,'Công T5'!$C$7:$F$89,4,0),"")</f>
        <v/>
      </c>
      <c r="F195" s="137" t="str">
        <f>IFERROR(__xludf.DUMMYFUNCTION("INDEX(FILTER('Công T5'!$B$8:$C$89,'Công T5'!$C$8:$C$89=C195),1,1)"),"")</f>
        <v/>
      </c>
      <c r="G195" s="138" t="str">
        <f>IFERROR(__xludf.DUMMYFUNCTION("IFERROR(INDEX(FILTER('Vân tay'!$A$5:$O270,'Vân tay'!$C$5:$C270=F195,'Vân tay'!$B$5:$B270=D195),1,10),"""")"),"")</f>
        <v/>
      </c>
      <c r="H195" s="138" t="str">
        <f>IFERROR(__xludf.DUMMYFUNCTION("IFERROR(INDEX(FILTER('Vân tay'!$A$5:$O270,'Vân tay'!$C$5:$C270=F195,'Vân tay'!$B$5:$B270=D195),1,11),"""")"),"")</f>
        <v/>
      </c>
      <c r="I195" s="138" t="str">
        <f>IFERROR(__xludf.DUMMYFUNCTION("IFERROR(INDEX(FILTER('Vân tay'!$A$5:$O270,'Vân tay'!$C$5:$C270=F195,'Vân tay'!$B$5:$B270=D195),1,14),"""")"),"")</f>
        <v/>
      </c>
      <c r="J195" s="138" t="str">
        <f>IFERROR(__xludf.DUMMYFUNCTION("IFERROR(INDEX(FILTER('Vân tay'!$A$5:$O270,'Vân tay'!$C$5:$C270=F195,'Vân tay'!$B$5:$B270=D195),1,15),"""")"),"")</f>
        <v/>
      </c>
      <c r="K195" s="196" t="str">
        <f t="shared" si="1"/>
        <v/>
      </c>
      <c r="L195" s="196" t="str">
        <f t="shared" si="2"/>
        <v/>
      </c>
      <c r="M195" s="197" t="str">
        <f t="shared" si="9"/>
        <v/>
      </c>
      <c r="N195" s="198" t="str">
        <f t="shared" si="3"/>
        <v/>
      </c>
      <c r="O195" s="198" t="str">
        <f t="shared" si="10"/>
        <v/>
      </c>
      <c r="P195" s="198"/>
      <c r="Q195" s="198">
        <f t="shared" si="4"/>
        <v>0</v>
      </c>
      <c r="R195" s="198">
        <f t="shared" si="5"/>
        <v>0</v>
      </c>
      <c r="S195" s="199">
        <f t="shared" si="6"/>
        <v>0</v>
      </c>
      <c r="T195" s="198">
        <f t="shared" si="7"/>
        <v>0</v>
      </c>
      <c r="U195" s="198"/>
      <c r="V195" s="198"/>
      <c r="W195" s="198">
        <f t="shared" si="8"/>
        <v>0</v>
      </c>
      <c r="X195" s="200"/>
    </row>
    <row r="196">
      <c r="A196" s="135"/>
      <c r="B196" s="135"/>
      <c r="C196" s="135"/>
      <c r="D196" s="195"/>
      <c r="E196" s="135" t="str">
        <f>IFERROR(VLOOKUP(C196,'Công T5'!$C$7:$F$89,4,0),"")</f>
        <v/>
      </c>
      <c r="F196" s="137" t="str">
        <f>IFERROR(__xludf.DUMMYFUNCTION("INDEX(FILTER('Công T5'!$B$8:$C$89,'Công T5'!$C$8:$C$89=C196),1,1)"),"")</f>
        <v/>
      </c>
      <c r="G196" s="138" t="str">
        <f>IFERROR(__xludf.DUMMYFUNCTION("IFERROR(INDEX(FILTER('Vân tay'!$A$5:$O270,'Vân tay'!$C$5:$C270=F196,'Vân tay'!$B$5:$B270=D196),1,10),"""")"),"")</f>
        <v/>
      </c>
      <c r="H196" s="138" t="str">
        <f>IFERROR(__xludf.DUMMYFUNCTION("IFERROR(INDEX(FILTER('Vân tay'!$A$5:$O270,'Vân tay'!$C$5:$C270=F196,'Vân tay'!$B$5:$B270=D196),1,11),"""")"),"")</f>
        <v/>
      </c>
      <c r="I196" s="138" t="str">
        <f>IFERROR(__xludf.DUMMYFUNCTION("IFERROR(INDEX(FILTER('Vân tay'!$A$5:$O270,'Vân tay'!$C$5:$C270=F196,'Vân tay'!$B$5:$B270=D196),1,14),"""")"),"")</f>
        <v/>
      </c>
      <c r="J196" s="138" t="str">
        <f>IFERROR(__xludf.DUMMYFUNCTION("IFERROR(INDEX(FILTER('Vân tay'!$A$5:$O270,'Vân tay'!$C$5:$C270=F196,'Vân tay'!$B$5:$B270=D196),1,15),"""")"),"")</f>
        <v/>
      </c>
      <c r="K196" s="196" t="str">
        <f t="shared" si="1"/>
        <v/>
      </c>
      <c r="L196" s="196" t="str">
        <f t="shared" si="2"/>
        <v/>
      </c>
      <c r="M196" s="197" t="str">
        <f t="shared" si="9"/>
        <v/>
      </c>
      <c r="N196" s="198" t="str">
        <f t="shared" si="3"/>
        <v/>
      </c>
      <c r="O196" s="198" t="str">
        <f t="shared" si="10"/>
        <v/>
      </c>
      <c r="P196" s="198"/>
      <c r="Q196" s="198">
        <f t="shared" si="4"/>
        <v>0</v>
      </c>
      <c r="R196" s="198">
        <f t="shared" si="5"/>
        <v>0</v>
      </c>
      <c r="S196" s="199">
        <f t="shared" si="6"/>
        <v>0</v>
      </c>
      <c r="T196" s="198">
        <f t="shared" si="7"/>
        <v>0</v>
      </c>
      <c r="U196" s="198"/>
      <c r="V196" s="198"/>
      <c r="W196" s="198">
        <f t="shared" si="8"/>
        <v>0</v>
      </c>
      <c r="X196" s="200"/>
    </row>
    <row r="197">
      <c r="A197" s="135"/>
      <c r="B197" s="135"/>
      <c r="C197" s="135"/>
      <c r="D197" s="195"/>
      <c r="E197" s="135" t="str">
        <f>IFERROR(VLOOKUP(C197,'Công T5'!$C$7:$F$89,4,0),"")</f>
        <v/>
      </c>
      <c r="F197" s="137" t="str">
        <f>IFERROR(__xludf.DUMMYFUNCTION("INDEX(FILTER('Công T5'!$B$8:$C$89,'Công T5'!$C$8:$C$89=C197),1,1)"),"")</f>
        <v/>
      </c>
      <c r="G197" s="138" t="str">
        <f>IFERROR(__xludf.DUMMYFUNCTION("IFERROR(INDEX(FILTER('Vân tay'!$A$5:$O270,'Vân tay'!$C$5:$C270=F197,'Vân tay'!$B$5:$B270=D197),1,10),"""")"),"")</f>
        <v/>
      </c>
      <c r="H197" s="138" t="str">
        <f>IFERROR(__xludf.DUMMYFUNCTION("IFERROR(INDEX(FILTER('Vân tay'!$A$5:$O270,'Vân tay'!$C$5:$C270=F197,'Vân tay'!$B$5:$B270=D197),1,11),"""")"),"")</f>
        <v/>
      </c>
      <c r="I197" s="138" t="str">
        <f>IFERROR(__xludf.DUMMYFUNCTION("IFERROR(INDEX(FILTER('Vân tay'!$A$5:$O270,'Vân tay'!$C$5:$C270=F197,'Vân tay'!$B$5:$B270=D197),1,14),"""")"),"")</f>
        <v/>
      </c>
      <c r="J197" s="138" t="str">
        <f>IFERROR(__xludf.DUMMYFUNCTION("IFERROR(INDEX(FILTER('Vân tay'!$A$5:$O270,'Vân tay'!$C$5:$C270=F197,'Vân tay'!$B$5:$B270=D197),1,15),"""")"),"")</f>
        <v/>
      </c>
      <c r="K197" s="196" t="str">
        <f t="shared" si="1"/>
        <v/>
      </c>
      <c r="L197" s="196" t="str">
        <f t="shared" si="2"/>
        <v/>
      </c>
      <c r="M197" s="197" t="str">
        <f t="shared" si="9"/>
        <v/>
      </c>
      <c r="N197" s="198" t="str">
        <f t="shared" si="3"/>
        <v/>
      </c>
      <c r="O197" s="198" t="str">
        <f t="shared" si="10"/>
        <v/>
      </c>
      <c r="P197" s="198"/>
      <c r="Q197" s="198">
        <f t="shared" si="4"/>
        <v>0</v>
      </c>
      <c r="R197" s="198">
        <f t="shared" si="5"/>
        <v>0</v>
      </c>
      <c r="S197" s="199">
        <f t="shared" si="6"/>
        <v>0</v>
      </c>
      <c r="T197" s="198">
        <f t="shared" si="7"/>
        <v>0</v>
      </c>
      <c r="U197" s="198"/>
      <c r="V197" s="198"/>
      <c r="W197" s="198">
        <f t="shared" si="8"/>
        <v>0</v>
      </c>
      <c r="X197" s="200"/>
    </row>
    <row r="198">
      <c r="A198" s="135"/>
      <c r="B198" s="135"/>
      <c r="C198" s="135"/>
      <c r="D198" s="195"/>
      <c r="E198" s="135" t="str">
        <f>IFERROR(VLOOKUP(C198,'Công T5'!$C$7:$F$89,4,0),"")</f>
        <v/>
      </c>
      <c r="F198" s="137" t="str">
        <f>IFERROR(__xludf.DUMMYFUNCTION("INDEX(FILTER('Công T5'!$B$8:$C$89,'Công T5'!$C$8:$C$89=C198),1,1)"),"")</f>
        <v/>
      </c>
      <c r="G198" s="138" t="str">
        <f>IFERROR(__xludf.DUMMYFUNCTION("IFERROR(INDEX(FILTER('Vân tay'!$A$5:$O270,'Vân tay'!$C$5:$C270=F198,'Vân tay'!$B$5:$B270=D198),1,10),"""")"),"")</f>
        <v/>
      </c>
      <c r="H198" s="138" t="str">
        <f>IFERROR(__xludf.DUMMYFUNCTION("IFERROR(INDEX(FILTER('Vân tay'!$A$5:$O270,'Vân tay'!$C$5:$C270=F198,'Vân tay'!$B$5:$B270=D198),1,11),"""")"),"")</f>
        <v/>
      </c>
      <c r="I198" s="138" t="str">
        <f>IFERROR(__xludf.DUMMYFUNCTION("IFERROR(INDEX(FILTER('Vân tay'!$A$5:$O270,'Vân tay'!$C$5:$C270=F198,'Vân tay'!$B$5:$B270=D198),1,14),"""")"),"")</f>
        <v/>
      </c>
      <c r="J198" s="138" t="str">
        <f>IFERROR(__xludf.DUMMYFUNCTION("IFERROR(INDEX(FILTER('Vân tay'!$A$5:$O270,'Vân tay'!$C$5:$C270=F198,'Vân tay'!$B$5:$B270=D198),1,15),"""")"),"")</f>
        <v/>
      </c>
      <c r="K198" s="196" t="str">
        <f t="shared" si="1"/>
        <v/>
      </c>
      <c r="L198" s="196" t="str">
        <f t="shared" si="2"/>
        <v/>
      </c>
      <c r="M198" s="197" t="str">
        <f t="shared" si="9"/>
        <v/>
      </c>
      <c r="N198" s="198" t="str">
        <f t="shared" si="3"/>
        <v/>
      </c>
      <c r="O198" s="198" t="str">
        <f t="shared" si="10"/>
        <v/>
      </c>
      <c r="P198" s="198"/>
      <c r="Q198" s="198">
        <f t="shared" si="4"/>
        <v>0</v>
      </c>
      <c r="R198" s="198">
        <f t="shared" si="5"/>
        <v>0</v>
      </c>
      <c r="S198" s="199">
        <f t="shared" si="6"/>
        <v>0</v>
      </c>
      <c r="T198" s="198">
        <f t="shared" si="7"/>
        <v>0</v>
      </c>
      <c r="U198" s="198"/>
      <c r="V198" s="198"/>
      <c r="W198" s="198">
        <f t="shared" si="8"/>
        <v>0</v>
      </c>
      <c r="X198" s="200"/>
    </row>
    <row r="199">
      <c r="A199" s="135"/>
      <c r="B199" s="135"/>
      <c r="C199" s="195"/>
      <c r="D199" s="195"/>
      <c r="E199" s="135" t="str">
        <f>IFERROR(VLOOKUP(C199,'Công T5'!$C$7:$F$89,4,0),"")</f>
        <v/>
      </c>
      <c r="F199" s="137" t="str">
        <f>IFERROR(__xludf.DUMMYFUNCTION("INDEX(FILTER('Công T5'!$B$8:$C$89,'Công T5'!$C$8:$C$89=C199),1,1)"),"")</f>
        <v/>
      </c>
      <c r="G199" s="138" t="str">
        <f>IFERROR(__xludf.DUMMYFUNCTION("IFERROR(INDEX(FILTER('Vân tay'!$A$5:$O270,'Vân tay'!$C$5:$C270=F199,'Vân tay'!$B$5:$B270=D199),1,10),"""")"),"")</f>
        <v/>
      </c>
      <c r="H199" s="138" t="str">
        <f>IFERROR(__xludf.DUMMYFUNCTION("IFERROR(INDEX(FILTER('Vân tay'!$A$5:$O270,'Vân tay'!$C$5:$C270=F199,'Vân tay'!$B$5:$B270=D199),1,11),"""")"),"")</f>
        <v/>
      </c>
      <c r="I199" s="138" t="str">
        <f>IFERROR(__xludf.DUMMYFUNCTION("IFERROR(INDEX(FILTER('Vân tay'!$A$5:$O270,'Vân tay'!$C$5:$C270=F199,'Vân tay'!$B$5:$B270=D199),1,14),"""")"),"")</f>
        <v/>
      </c>
      <c r="J199" s="138" t="str">
        <f>IFERROR(__xludf.DUMMYFUNCTION("IFERROR(INDEX(FILTER('Vân tay'!$A$5:$O270,'Vân tay'!$C$5:$C270=F199,'Vân tay'!$B$5:$B270=D199),1,15),"""")"),"")</f>
        <v/>
      </c>
      <c r="K199" s="196" t="str">
        <f t="shared" si="1"/>
        <v/>
      </c>
      <c r="L199" s="196" t="str">
        <f t="shared" si="2"/>
        <v/>
      </c>
      <c r="M199" s="197" t="str">
        <f t="shared" si="9"/>
        <v/>
      </c>
      <c r="N199" s="198" t="str">
        <f t="shared" si="3"/>
        <v/>
      </c>
      <c r="O199" s="198" t="str">
        <f t="shared" si="10"/>
        <v/>
      </c>
      <c r="P199" s="198"/>
      <c r="Q199" s="198">
        <f t="shared" si="4"/>
        <v>0</v>
      </c>
      <c r="R199" s="198">
        <f t="shared" si="5"/>
        <v>0</v>
      </c>
      <c r="S199" s="199">
        <f t="shared" si="6"/>
        <v>0</v>
      </c>
      <c r="T199" s="198">
        <f t="shared" si="7"/>
        <v>0</v>
      </c>
      <c r="U199" s="198"/>
      <c r="V199" s="198"/>
      <c r="W199" s="198">
        <f t="shared" si="8"/>
        <v>0</v>
      </c>
      <c r="X199" s="200"/>
    </row>
    <row r="200">
      <c r="A200" s="135"/>
      <c r="B200" s="135"/>
      <c r="C200" s="195"/>
      <c r="D200" s="195"/>
      <c r="E200" s="135" t="str">
        <f>IFERROR(VLOOKUP(C200,'Công T5'!$C$7:$F$89,4,0),"")</f>
        <v/>
      </c>
      <c r="F200" s="137" t="str">
        <f>IFERROR(__xludf.DUMMYFUNCTION("INDEX(FILTER('Công T5'!$B$8:$C$89,'Công T5'!$C$8:$C$89=C200),1,1)"),"")</f>
        <v/>
      </c>
      <c r="G200" s="138" t="str">
        <f>IFERROR(__xludf.DUMMYFUNCTION("IFERROR(INDEX(FILTER('Vân tay'!$A$5:$O270,'Vân tay'!$C$5:$C270=F200,'Vân tay'!$B$5:$B270=D200),1,10),"""")"),"")</f>
        <v/>
      </c>
      <c r="H200" s="138" t="str">
        <f>IFERROR(__xludf.DUMMYFUNCTION("IFERROR(INDEX(FILTER('Vân tay'!$A$5:$O270,'Vân tay'!$C$5:$C270=F200,'Vân tay'!$B$5:$B270=D200),1,11),"""")"),"")</f>
        <v/>
      </c>
      <c r="I200" s="138" t="str">
        <f>IFERROR(__xludf.DUMMYFUNCTION("IFERROR(INDEX(FILTER('Vân tay'!$A$5:$O270,'Vân tay'!$C$5:$C270=F200,'Vân tay'!$B$5:$B270=D200),1,14),"""")"),"")</f>
        <v/>
      </c>
      <c r="J200" s="138" t="str">
        <f>IFERROR(__xludf.DUMMYFUNCTION("IFERROR(INDEX(FILTER('Vân tay'!$A$5:$O270,'Vân tay'!$C$5:$C270=F200,'Vân tay'!$B$5:$B270=D200),1,15),"""")"),"")</f>
        <v/>
      </c>
      <c r="K200" s="196" t="str">
        <f t="shared" si="1"/>
        <v/>
      </c>
      <c r="L200" s="196" t="str">
        <f t="shared" si="2"/>
        <v/>
      </c>
      <c r="M200" s="197" t="str">
        <f t="shared" si="9"/>
        <v/>
      </c>
      <c r="N200" s="198" t="str">
        <f t="shared" si="3"/>
        <v/>
      </c>
      <c r="O200" s="198" t="str">
        <f t="shared" si="10"/>
        <v/>
      </c>
      <c r="P200" s="198"/>
      <c r="Q200" s="198">
        <f t="shared" si="4"/>
        <v>0</v>
      </c>
      <c r="R200" s="198">
        <f t="shared" si="5"/>
        <v>0</v>
      </c>
      <c r="S200" s="199">
        <f t="shared" si="6"/>
        <v>0</v>
      </c>
      <c r="T200" s="198">
        <f t="shared" si="7"/>
        <v>0</v>
      </c>
      <c r="U200" s="198"/>
      <c r="V200" s="198"/>
      <c r="W200" s="198">
        <f t="shared" si="8"/>
        <v>0</v>
      </c>
      <c r="X200" s="200"/>
    </row>
    <row r="201">
      <c r="A201" s="135"/>
      <c r="B201" s="135"/>
      <c r="C201" s="135"/>
      <c r="D201" s="195"/>
      <c r="E201" s="135" t="str">
        <f>IFERROR(VLOOKUP(C201,'Công T5'!$C$7:$F$89,4,0),"")</f>
        <v/>
      </c>
      <c r="F201" s="137" t="str">
        <f>IFERROR(__xludf.DUMMYFUNCTION("INDEX(FILTER('Công T5'!$B$8:$C$89,'Công T5'!$C$8:$C$89=C201),1,1)"),"")</f>
        <v/>
      </c>
      <c r="G201" s="138" t="str">
        <f>IFERROR(__xludf.DUMMYFUNCTION("IFERROR(INDEX(FILTER('Vân tay'!$A$5:$O270,'Vân tay'!$C$5:$C270=F201,'Vân tay'!$B$5:$B270=D201),1,10),"""")"),"")</f>
        <v/>
      </c>
      <c r="H201" s="138" t="str">
        <f>IFERROR(__xludf.DUMMYFUNCTION("IFERROR(INDEX(FILTER('Vân tay'!$A$5:$O270,'Vân tay'!$C$5:$C270=F201,'Vân tay'!$B$5:$B270=D201),1,11),"""")"),"")</f>
        <v/>
      </c>
      <c r="I201" s="138" t="str">
        <f>IFERROR(__xludf.DUMMYFUNCTION("IFERROR(INDEX(FILTER('Vân tay'!$A$5:$O270,'Vân tay'!$C$5:$C270=F201,'Vân tay'!$B$5:$B270=D201),1,14),"""")"),"")</f>
        <v/>
      </c>
      <c r="J201" s="138" t="str">
        <f>IFERROR(__xludf.DUMMYFUNCTION("IFERROR(INDEX(FILTER('Vân tay'!$A$5:$O270,'Vân tay'!$C$5:$C270=F201,'Vân tay'!$B$5:$B270=D201),1,15),"""")"),"")</f>
        <v/>
      </c>
      <c r="K201" s="196" t="str">
        <f t="shared" si="1"/>
        <v/>
      </c>
      <c r="L201" s="196" t="str">
        <f t="shared" si="2"/>
        <v/>
      </c>
      <c r="M201" s="197" t="str">
        <f t="shared" si="9"/>
        <v/>
      </c>
      <c r="N201" s="198" t="str">
        <f t="shared" si="3"/>
        <v/>
      </c>
      <c r="O201" s="198" t="str">
        <f t="shared" si="10"/>
        <v/>
      </c>
      <c r="P201" s="198"/>
      <c r="Q201" s="198">
        <f t="shared" si="4"/>
        <v>0</v>
      </c>
      <c r="R201" s="198">
        <f t="shared" si="5"/>
        <v>0</v>
      </c>
      <c r="S201" s="199">
        <f t="shared" si="6"/>
        <v>0</v>
      </c>
      <c r="T201" s="198">
        <f t="shared" si="7"/>
        <v>0</v>
      </c>
      <c r="U201" s="198"/>
      <c r="V201" s="198"/>
      <c r="W201" s="198">
        <f t="shared" si="8"/>
        <v>0</v>
      </c>
      <c r="X201" s="200"/>
    </row>
    <row r="202">
      <c r="A202" s="135"/>
      <c r="B202" s="135"/>
      <c r="C202" s="135"/>
      <c r="D202" s="195"/>
      <c r="E202" s="135" t="str">
        <f>IFERROR(VLOOKUP(C202,'Công T5'!$C$7:$F$89,4,0),"")</f>
        <v/>
      </c>
      <c r="F202" s="137" t="str">
        <f>IFERROR(__xludf.DUMMYFUNCTION("INDEX(FILTER('Công T5'!$B$8:$C$89,'Công T5'!$C$8:$C$89=C202),1,1)"),"")</f>
        <v/>
      </c>
      <c r="G202" s="138" t="str">
        <f>IFERROR(__xludf.DUMMYFUNCTION("IFERROR(INDEX(FILTER('Vân tay'!$A$5:$O270,'Vân tay'!$C$5:$C270=F202,'Vân tay'!$B$5:$B270=D202),1,10),"""")"),"")</f>
        <v/>
      </c>
      <c r="H202" s="138" t="str">
        <f>IFERROR(__xludf.DUMMYFUNCTION("IFERROR(INDEX(FILTER('Vân tay'!$A$5:$O270,'Vân tay'!$C$5:$C270=F202,'Vân tay'!$B$5:$B270=D202),1,11),"""")"),"")</f>
        <v/>
      </c>
      <c r="I202" s="138" t="str">
        <f>IFERROR(__xludf.DUMMYFUNCTION("IFERROR(INDEX(FILTER('Vân tay'!$A$5:$O270,'Vân tay'!$C$5:$C270=F202,'Vân tay'!$B$5:$B270=D202),1,14),"""")"),"")</f>
        <v/>
      </c>
      <c r="J202" s="138" t="str">
        <f>IFERROR(__xludf.DUMMYFUNCTION("IFERROR(INDEX(FILTER('Vân tay'!$A$5:$O270,'Vân tay'!$C$5:$C270=F202,'Vân tay'!$B$5:$B270=D202),1,15),"""")"),"")</f>
        <v/>
      </c>
      <c r="K202" s="196" t="str">
        <f t="shared" si="1"/>
        <v/>
      </c>
      <c r="L202" s="196" t="str">
        <f t="shared" si="2"/>
        <v/>
      </c>
      <c r="M202" s="197" t="str">
        <f t="shared" si="9"/>
        <v/>
      </c>
      <c r="N202" s="198" t="str">
        <f t="shared" si="3"/>
        <v/>
      </c>
      <c r="O202" s="198" t="str">
        <f t="shared" si="10"/>
        <v/>
      </c>
      <c r="P202" s="198"/>
      <c r="Q202" s="198">
        <f t="shared" si="4"/>
        <v>0</v>
      </c>
      <c r="R202" s="198">
        <f t="shared" si="5"/>
        <v>0</v>
      </c>
      <c r="S202" s="199">
        <f t="shared" si="6"/>
        <v>0</v>
      </c>
      <c r="T202" s="198">
        <f t="shared" si="7"/>
        <v>0</v>
      </c>
      <c r="U202" s="198"/>
      <c r="V202" s="198"/>
      <c r="W202" s="198">
        <f t="shared" si="8"/>
        <v>0</v>
      </c>
      <c r="X202" s="200"/>
    </row>
    <row r="203">
      <c r="A203" s="135"/>
      <c r="B203" s="135"/>
      <c r="C203" s="135"/>
      <c r="D203" s="195"/>
      <c r="E203" s="135" t="str">
        <f>IFERROR(VLOOKUP(C203,'Công T5'!$C$7:$F$89,4,0),"")</f>
        <v/>
      </c>
      <c r="F203" s="137" t="str">
        <f>IFERROR(__xludf.DUMMYFUNCTION("INDEX(FILTER('Công T5'!$B$8:$C$89,'Công T5'!$C$8:$C$89=C203),1,1)"),"")</f>
        <v/>
      </c>
      <c r="G203" s="138" t="str">
        <f>IFERROR(__xludf.DUMMYFUNCTION("IFERROR(INDEX(FILTER('Vân tay'!$A$5:$O270,'Vân tay'!$C$5:$C270=F203,'Vân tay'!$B$5:$B270=D203),1,10),"""")"),"")</f>
        <v/>
      </c>
      <c r="H203" s="138" t="str">
        <f>IFERROR(__xludf.DUMMYFUNCTION("IFERROR(INDEX(FILTER('Vân tay'!$A$5:$O270,'Vân tay'!$C$5:$C270=F203,'Vân tay'!$B$5:$B270=D203),1,11),"""")"),"")</f>
        <v/>
      </c>
      <c r="I203" s="138" t="str">
        <f>IFERROR(__xludf.DUMMYFUNCTION("IFERROR(INDEX(FILTER('Vân tay'!$A$5:$O270,'Vân tay'!$C$5:$C270=F203,'Vân tay'!$B$5:$B270=D203),1,14),"""")"),"")</f>
        <v/>
      </c>
      <c r="J203" s="138" t="str">
        <f>IFERROR(__xludf.DUMMYFUNCTION("IFERROR(INDEX(FILTER('Vân tay'!$A$5:$O270,'Vân tay'!$C$5:$C270=F203,'Vân tay'!$B$5:$B270=D203),1,15),"""")"),"")</f>
        <v/>
      </c>
      <c r="K203" s="196" t="str">
        <f t="shared" si="1"/>
        <v/>
      </c>
      <c r="L203" s="196" t="str">
        <f t="shared" si="2"/>
        <v/>
      </c>
      <c r="M203" s="197" t="str">
        <f t="shared" si="9"/>
        <v/>
      </c>
      <c r="N203" s="198" t="str">
        <f t="shared" si="3"/>
        <v/>
      </c>
      <c r="O203" s="198" t="str">
        <f t="shared" si="10"/>
        <v/>
      </c>
      <c r="P203" s="198"/>
      <c r="Q203" s="198">
        <f t="shared" si="4"/>
        <v>0</v>
      </c>
      <c r="R203" s="198">
        <f t="shared" si="5"/>
        <v>0</v>
      </c>
      <c r="S203" s="199">
        <f t="shared" si="6"/>
        <v>0</v>
      </c>
      <c r="T203" s="198">
        <f t="shared" si="7"/>
        <v>0</v>
      </c>
      <c r="U203" s="198"/>
      <c r="V203" s="198"/>
      <c r="W203" s="198">
        <f t="shared" si="8"/>
        <v>0</v>
      </c>
      <c r="X203" s="200"/>
    </row>
    <row r="204">
      <c r="A204" s="135"/>
      <c r="B204" s="135"/>
      <c r="C204" s="195"/>
      <c r="D204" s="195"/>
      <c r="E204" s="135" t="str">
        <f>IFERROR(VLOOKUP(C204,'Công T5'!$C$7:$F$89,4,0),"")</f>
        <v/>
      </c>
      <c r="F204" s="137" t="str">
        <f>IFERROR(__xludf.DUMMYFUNCTION("INDEX(FILTER('Công T5'!$B$8:$C$89,'Công T5'!$C$8:$C$89=C204),1,1)"),"")</f>
        <v/>
      </c>
      <c r="G204" s="138" t="str">
        <f>IFERROR(__xludf.DUMMYFUNCTION("IFERROR(INDEX(FILTER('Vân tay'!$A$5:$O270,'Vân tay'!$C$5:$C270=F204,'Vân tay'!$B$5:$B270=D204),1,10),"""")"),"")</f>
        <v/>
      </c>
      <c r="H204" s="138" t="str">
        <f>IFERROR(__xludf.DUMMYFUNCTION("IFERROR(INDEX(FILTER('Vân tay'!$A$5:$O270,'Vân tay'!$C$5:$C270=F204,'Vân tay'!$B$5:$B270=D204),1,11),"""")"),"")</f>
        <v/>
      </c>
      <c r="I204" s="138" t="str">
        <f>IFERROR(__xludf.DUMMYFUNCTION("IFERROR(INDEX(FILTER('Vân tay'!$A$5:$O270,'Vân tay'!$C$5:$C270=F204,'Vân tay'!$B$5:$B270=D204),1,14),"""")"),"")</f>
        <v/>
      </c>
      <c r="J204" s="138" t="str">
        <f>IFERROR(__xludf.DUMMYFUNCTION("IFERROR(INDEX(FILTER('Vân tay'!$A$5:$O270,'Vân tay'!$C$5:$C270=F204,'Vân tay'!$B$5:$B270=D204),1,15),"""")"),"")</f>
        <v/>
      </c>
      <c r="K204" s="196" t="str">
        <f t="shared" si="1"/>
        <v/>
      </c>
      <c r="L204" s="196" t="str">
        <f t="shared" si="2"/>
        <v/>
      </c>
      <c r="M204" s="197" t="str">
        <f t="shared" si="9"/>
        <v/>
      </c>
      <c r="N204" s="198" t="str">
        <f t="shared" si="3"/>
        <v/>
      </c>
      <c r="O204" s="198" t="str">
        <f t="shared" si="10"/>
        <v/>
      </c>
      <c r="P204" s="198"/>
      <c r="Q204" s="198">
        <f t="shared" si="4"/>
        <v>0</v>
      </c>
      <c r="R204" s="198">
        <f t="shared" si="5"/>
        <v>0</v>
      </c>
      <c r="S204" s="199">
        <f t="shared" si="6"/>
        <v>0</v>
      </c>
      <c r="T204" s="198">
        <f t="shared" si="7"/>
        <v>0</v>
      </c>
      <c r="U204" s="198"/>
      <c r="V204" s="198"/>
      <c r="W204" s="198">
        <f t="shared" si="8"/>
        <v>0</v>
      </c>
      <c r="X204" s="200"/>
    </row>
    <row r="205">
      <c r="A205" s="135"/>
      <c r="B205" s="135"/>
      <c r="C205" s="135"/>
      <c r="D205" s="195"/>
      <c r="E205" s="135" t="str">
        <f>IFERROR(VLOOKUP(C205,'Công T5'!$C$7:$F$89,4,0),"")</f>
        <v/>
      </c>
      <c r="F205" s="137" t="str">
        <f>IFERROR(__xludf.DUMMYFUNCTION("INDEX(FILTER('Công T5'!$B$8:$C$89,'Công T5'!$C$8:$C$89=C205),1,1)"),"")</f>
        <v/>
      </c>
      <c r="G205" s="138" t="str">
        <f>IFERROR(__xludf.DUMMYFUNCTION("IFERROR(INDEX(FILTER('Vân tay'!$A$5:$O270,'Vân tay'!$C$5:$C270=F205,'Vân tay'!$B$5:$B270=D205),1,10),"""")"),"")</f>
        <v/>
      </c>
      <c r="H205" s="138" t="str">
        <f>IFERROR(__xludf.DUMMYFUNCTION("IFERROR(INDEX(FILTER('Vân tay'!$A$5:$O270,'Vân tay'!$C$5:$C270=F205,'Vân tay'!$B$5:$B270=D205),1,11),"""")"),"")</f>
        <v/>
      </c>
      <c r="I205" s="138" t="str">
        <f>IFERROR(__xludf.DUMMYFUNCTION("IFERROR(INDEX(FILTER('Vân tay'!$A$5:$O270,'Vân tay'!$C$5:$C270=F205,'Vân tay'!$B$5:$B270=D205),1,14),"""")"),"")</f>
        <v/>
      </c>
      <c r="J205" s="138" t="str">
        <f>IFERROR(__xludf.DUMMYFUNCTION("IFERROR(INDEX(FILTER('Vân tay'!$A$5:$O270,'Vân tay'!$C$5:$C270=F205,'Vân tay'!$B$5:$B270=D205),1,15),"""")"),"")</f>
        <v/>
      </c>
      <c r="K205" s="196" t="str">
        <f t="shared" si="1"/>
        <v/>
      </c>
      <c r="L205" s="196" t="str">
        <f t="shared" si="2"/>
        <v/>
      </c>
      <c r="M205" s="197" t="str">
        <f t="shared" si="9"/>
        <v/>
      </c>
      <c r="N205" s="198" t="str">
        <f t="shared" si="3"/>
        <v/>
      </c>
      <c r="O205" s="198" t="str">
        <f t="shared" si="10"/>
        <v/>
      </c>
      <c r="P205" s="198"/>
      <c r="Q205" s="198">
        <f t="shared" si="4"/>
        <v>0</v>
      </c>
      <c r="R205" s="198">
        <f t="shared" si="5"/>
        <v>0</v>
      </c>
      <c r="S205" s="199">
        <f t="shared" si="6"/>
        <v>0</v>
      </c>
      <c r="T205" s="198">
        <f t="shared" si="7"/>
        <v>0</v>
      </c>
      <c r="U205" s="198"/>
      <c r="V205" s="198"/>
      <c r="W205" s="198">
        <f t="shared" si="8"/>
        <v>0</v>
      </c>
      <c r="X205" s="200"/>
    </row>
    <row r="206">
      <c r="A206" s="135"/>
      <c r="B206" s="135"/>
      <c r="C206" s="135"/>
      <c r="D206" s="195"/>
      <c r="E206" s="135" t="str">
        <f>IFERROR(VLOOKUP(C206,'Công T5'!$C$7:$F$89,4,0),"")</f>
        <v/>
      </c>
      <c r="F206" s="137" t="str">
        <f>IFERROR(__xludf.DUMMYFUNCTION("INDEX(FILTER('Công T5'!$B$8:$C$89,'Công T5'!$C$8:$C$89=C206),1,1)"),"")</f>
        <v/>
      </c>
      <c r="G206" s="138" t="str">
        <f>IFERROR(__xludf.DUMMYFUNCTION("IFERROR(INDEX(FILTER('Vân tay'!$A$5:$O270,'Vân tay'!$C$5:$C270=F206,'Vân tay'!$B$5:$B270=D206),1,10),"""")"),"")</f>
        <v/>
      </c>
      <c r="H206" s="138" t="str">
        <f>IFERROR(__xludf.DUMMYFUNCTION("IFERROR(INDEX(FILTER('Vân tay'!$A$5:$O270,'Vân tay'!$C$5:$C270=F206,'Vân tay'!$B$5:$B270=D206),1,11),"""")"),"")</f>
        <v/>
      </c>
      <c r="I206" s="138" t="str">
        <f>IFERROR(__xludf.DUMMYFUNCTION("IFERROR(INDEX(FILTER('Vân tay'!$A$5:$O270,'Vân tay'!$C$5:$C270=F206,'Vân tay'!$B$5:$B270=D206),1,14),"""")"),"")</f>
        <v/>
      </c>
      <c r="J206" s="138" t="str">
        <f>IFERROR(__xludf.DUMMYFUNCTION("IFERROR(INDEX(FILTER('Vân tay'!$A$5:$O270,'Vân tay'!$C$5:$C270=F206,'Vân tay'!$B$5:$B270=D206),1,15),"""")"),"")</f>
        <v/>
      </c>
      <c r="K206" s="196" t="str">
        <f t="shared" si="1"/>
        <v/>
      </c>
      <c r="L206" s="196" t="str">
        <f t="shared" si="2"/>
        <v/>
      </c>
      <c r="M206" s="197" t="str">
        <f t="shared" si="9"/>
        <v/>
      </c>
      <c r="N206" s="198" t="str">
        <f t="shared" si="3"/>
        <v/>
      </c>
      <c r="O206" s="198" t="str">
        <f t="shared" si="10"/>
        <v/>
      </c>
      <c r="P206" s="198"/>
      <c r="Q206" s="198">
        <f t="shared" si="4"/>
        <v>0</v>
      </c>
      <c r="R206" s="198">
        <f t="shared" si="5"/>
        <v>0</v>
      </c>
      <c r="S206" s="199">
        <f t="shared" si="6"/>
        <v>0</v>
      </c>
      <c r="T206" s="198">
        <f t="shared" si="7"/>
        <v>0</v>
      </c>
      <c r="U206" s="198"/>
      <c r="V206" s="198"/>
      <c r="W206" s="198">
        <f t="shared" si="8"/>
        <v>0</v>
      </c>
      <c r="X206" s="200"/>
    </row>
    <row r="207">
      <c r="A207" s="135"/>
      <c r="B207" s="135"/>
      <c r="C207" s="135"/>
      <c r="D207" s="195"/>
      <c r="E207" s="135" t="str">
        <f>IFERROR(VLOOKUP(C207,'Công T5'!$C$7:$F$89,4,0),"")</f>
        <v/>
      </c>
      <c r="F207" s="137" t="str">
        <f>IFERROR(__xludf.DUMMYFUNCTION("INDEX(FILTER('Công T5'!$B$8:$C$89,'Công T5'!$C$8:$C$89=C207),1,1)"),"")</f>
        <v/>
      </c>
      <c r="G207" s="138" t="str">
        <f>IFERROR(__xludf.DUMMYFUNCTION("IFERROR(INDEX(FILTER('Vân tay'!$A$5:$O270,'Vân tay'!$C$5:$C270=F207,'Vân tay'!$B$5:$B270=D207),1,10),"""")"),"")</f>
        <v/>
      </c>
      <c r="H207" s="138" t="str">
        <f>IFERROR(__xludf.DUMMYFUNCTION("IFERROR(INDEX(FILTER('Vân tay'!$A$5:$O270,'Vân tay'!$C$5:$C270=F207,'Vân tay'!$B$5:$B270=D207),1,11),"""")"),"")</f>
        <v/>
      </c>
      <c r="I207" s="138" t="str">
        <f>IFERROR(__xludf.DUMMYFUNCTION("IFERROR(INDEX(FILTER('Vân tay'!$A$5:$O270,'Vân tay'!$C$5:$C270=F207,'Vân tay'!$B$5:$B270=D207),1,14),"""")"),"")</f>
        <v/>
      </c>
      <c r="J207" s="138" t="str">
        <f>IFERROR(__xludf.DUMMYFUNCTION("IFERROR(INDEX(FILTER('Vân tay'!$A$5:$O270,'Vân tay'!$C$5:$C270=F207,'Vân tay'!$B$5:$B270=D207),1,15),"""")"),"")</f>
        <v/>
      </c>
      <c r="K207" s="196" t="str">
        <f t="shared" si="1"/>
        <v/>
      </c>
      <c r="L207" s="196" t="str">
        <f t="shared" si="2"/>
        <v/>
      </c>
      <c r="M207" s="197" t="str">
        <f t="shared" si="9"/>
        <v/>
      </c>
      <c r="N207" s="198" t="str">
        <f t="shared" si="3"/>
        <v/>
      </c>
      <c r="O207" s="198" t="str">
        <f t="shared" si="10"/>
        <v/>
      </c>
      <c r="P207" s="198"/>
      <c r="Q207" s="198">
        <f t="shared" si="4"/>
        <v>0</v>
      </c>
      <c r="R207" s="198">
        <f t="shared" si="5"/>
        <v>0</v>
      </c>
      <c r="S207" s="199">
        <f t="shared" si="6"/>
        <v>0</v>
      </c>
      <c r="T207" s="198">
        <f t="shared" si="7"/>
        <v>0</v>
      </c>
      <c r="U207" s="198"/>
      <c r="V207" s="198"/>
      <c r="W207" s="198">
        <f t="shared" si="8"/>
        <v>0</v>
      </c>
      <c r="X207" s="200"/>
    </row>
    <row r="208">
      <c r="A208" s="135"/>
      <c r="B208" s="135"/>
      <c r="C208" s="135"/>
      <c r="D208" s="195"/>
      <c r="E208" s="135" t="str">
        <f>IFERROR(VLOOKUP(C208,'Công T5'!$C$7:$F$89,4,0),"")</f>
        <v/>
      </c>
      <c r="F208" s="137" t="str">
        <f>IFERROR(__xludf.DUMMYFUNCTION("INDEX(FILTER('Công T5'!$B$8:$C$89,'Công T5'!$C$8:$C$89=C208),1,1)"),"")</f>
        <v/>
      </c>
      <c r="G208" s="138" t="str">
        <f>IFERROR(__xludf.DUMMYFUNCTION("IFERROR(INDEX(FILTER('Vân tay'!$A$5:$O270,'Vân tay'!$C$5:$C270=F208,'Vân tay'!$B$5:$B270=D208),1,10),"""")"),"")</f>
        <v/>
      </c>
      <c r="H208" s="138" t="str">
        <f>IFERROR(__xludf.DUMMYFUNCTION("IFERROR(INDEX(FILTER('Vân tay'!$A$5:$O270,'Vân tay'!$C$5:$C270=F208,'Vân tay'!$B$5:$B270=D208),1,11),"""")"),"")</f>
        <v/>
      </c>
      <c r="I208" s="138" t="str">
        <f>IFERROR(__xludf.DUMMYFUNCTION("IFERROR(INDEX(FILTER('Vân tay'!$A$5:$O270,'Vân tay'!$C$5:$C270=F208,'Vân tay'!$B$5:$B270=D208),1,14),"""")"),"")</f>
        <v/>
      </c>
      <c r="J208" s="138" t="str">
        <f>IFERROR(__xludf.DUMMYFUNCTION("IFERROR(INDEX(FILTER('Vân tay'!$A$5:$O270,'Vân tay'!$C$5:$C270=F208,'Vân tay'!$B$5:$B270=D208),1,15),"""")"),"")</f>
        <v/>
      </c>
      <c r="K208" s="196" t="str">
        <f t="shared" si="1"/>
        <v/>
      </c>
      <c r="L208" s="196" t="str">
        <f t="shared" si="2"/>
        <v/>
      </c>
      <c r="M208" s="197" t="str">
        <f t="shared" si="9"/>
        <v/>
      </c>
      <c r="N208" s="198" t="str">
        <f t="shared" si="3"/>
        <v/>
      </c>
      <c r="O208" s="198" t="str">
        <f t="shared" si="10"/>
        <v/>
      </c>
      <c r="P208" s="198"/>
      <c r="Q208" s="198">
        <f t="shared" si="4"/>
        <v>0</v>
      </c>
      <c r="R208" s="198">
        <f t="shared" si="5"/>
        <v>0</v>
      </c>
      <c r="S208" s="199">
        <f t="shared" si="6"/>
        <v>0</v>
      </c>
      <c r="T208" s="198">
        <f t="shared" si="7"/>
        <v>0</v>
      </c>
      <c r="U208" s="198"/>
      <c r="V208" s="198"/>
      <c r="W208" s="198">
        <f t="shared" si="8"/>
        <v>0</v>
      </c>
      <c r="X208" s="200"/>
    </row>
    <row r="209">
      <c r="A209" s="135"/>
      <c r="B209" s="135"/>
      <c r="C209" s="135"/>
      <c r="D209" s="195"/>
      <c r="E209" s="135" t="str">
        <f>IFERROR(VLOOKUP(C209,'Công T5'!$C$7:$F$89,4,0),"")</f>
        <v/>
      </c>
      <c r="F209" s="137" t="str">
        <f>IFERROR(__xludf.DUMMYFUNCTION("INDEX(FILTER('Công T5'!$B$8:$C$89,'Công T5'!$C$8:$C$89=C209),1,1)"),"")</f>
        <v/>
      </c>
      <c r="G209" s="138" t="str">
        <f>IFERROR(__xludf.DUMMYFUNCTION("IFERROR(INDEX(FILTER('Vân tay'!$A$5:$O270,'Vân tay'!$C$5:$C270=F209,'Vân tay'!$B$5:$B270=D209),1,10),"""")"),"")</f>
        <v/>
      </c>
      <c r="H209" s="138" t="str">
        <f>IFERROR(__xludf.DUMMYFUNCTION("IFERROR(INDEX(FILTER('Vân tay'!$A$5:$O270,'Vân tay'!$C$5:$C270=F209,'Vân tay'!$B$5:$B270=D209),1,11),"""")"),"")</f>
        <v/>
      </c>
      <c r="I209" s="138" t="str">
        <f>IFERROR(__xludf.DUMMYFUNCTION("IFERROR(INDEX(FILTER('Vân tay'!$A$5:$O270,'Vân tay'!$C$5:$C270=F209,'Vân tay'!$B$5:$B270=D209),1,14),"""")"),"")</f>
        <v/>
      </c>
      <c r="J209" s="138" t="str">
        <f>IFERROR(__xludf.DUMMYFUNCTION("IFERROR(INDEX(FILTER('Vân tay'!$A$5:$O270,'Vân tay'!$C$5:$C270=F209,'Vân tay'!$B$5:$B270=D209),1,15),"""")"),"")</f>
        <v/>
      </c>
      <c r="K209" s="196" t="str">
        <f t="shared" si="1"/>
        <v/>
      </c>
      <c r="L209" s="196" t="str">
        <f t="shared" si="2"/>
        <v/>
      </c>
      <c r="M209" s="197" t="str">
        <f t="shared" si="9"/>
        <v/>
      </c>
      <c r="N209" s="198" t="str">
        <f t="shared" si="3"/>
        <v/>
      </c>
      <c r="O209" s="198" t="str">
        <f t="shared" si="10"/>
        <v/>
      </c>
      <c r="P209" s="198"/>
      <c r="Q209" s="198">
        <f t="shared" si="4"/>
        <v>0</v>
      </c>
      <c r="R209" s="198">
        <f t="shared" si="5"/>
        <v>0</v>
      </c>
      <c r="S209" s="199">
        <f t="shared" si="6"/>
        <v>0</v>
      </c>
      <c r="T209" s="198">
        <f t="shared" si="7"/>
        <v>0</v>
      </c>
      <c r="U209" s="198"/>
      <c r="V209" s="198"/>
      <c r="W209" s="198">
        <f t="shared" si="8"/>
        <v>0</v>
      </c>
      <c r="X209" s="200"/>
    </row>
    <row r="210">
      <c r="A210" s="135"/>
      <c r="B210" s="135"/>
      <c r="C210" s="135"/>
      <c r="D210" s="195"/>
      <c r="E210" s="135" t="str">
        <f>IFERROR(VLOOKUP(C210,'Công T5'!$C$7:$F$89,4,0),"")</f>
        <v/>
      </c>
      <c r="F210" s="137" t="str">
        <f>IFERROR(__xludf.DUMMYFUNCTION("INDEX(FILTER('Công T5'!$B$8:$C$89,'Công T5'!$C$8:$C$89=C210),1,1)"),"")</f>
        <v/>
      </c>
      <c r="G210" s="138" t="str">
        <f>IFERROR(__xludf.DUMMYFUNCTION("IFERROR(INDEX(FILTER('Vân tay'!$A$5:$O270,'Vân tay'!$C$5:$C270=F210,'Vân tay'!$B$5:$B270=D210),1,10),"""")"),"")</f>
        <v/>
      </c>
      <c r="H210" s="138" t="str">
        <f>IFERROR(__xludf.DUMMYFUNCTION("IFERROR(INDEX(FILTER('Vân tay'!$A$5:$O270,'Vân tay'!$C$5:$C270=F210,'Vân tay'!$B$5:$B270=D210),1,11),"""")"),"")</f>
        <v/>
      </c>
      <c r="I210" s="138" t="str">
        <f>IFERROR(__xludf.DUMMYFUNCTION("IFERROR(INDEX(FILTER('Vân tay'!$A$5:$O270,'Vân tay'!$C$5:$C270=F210,'Vân tay'!$B$5:$B270=D210),1,14),"""")"),"")</f>
        <v/>
      </c>
      <c r="J210" s="138" t="str">
        <f>IFERROR(__xludf.DUMMYFUNCTION("IFERROR(INDEX(FILTER('Vân tay'!$A$5:$O270,'Vân tay'!$C$5:$C270=F210,'Vân tay'!$B$5:$B270=D210),1,15),"""")"),"")</f>
        <v/>
      </c>
      <c r="K210" s="196" t="str">
        <f t="shared" si="1"/>
        <v/>
      </c>
      <c r="L210" s="196" t="str">
        <f t="shared" si="2"/>
        <v/>
      </c>
      <c r="M210" s="197" t="str">
        <f t="shared" si="9"/>
        <v/>
      </c>
      <c r="N210" s="198" t="str">
        <f t="shared" si="3"/>
        <v/>
      </c>
      <c r="O210" s="198" t="str">
        <f t="shared" si="10"/>
        <v/>
      </c>
      <c r="P210" s="198"/>
      <c r="Q210" s="198">
        <f t="shared" si="4"/>
        <v>0</v>
      </c>
      <c r="R210" s="198">
        <f t="shared" si="5"/>
        <v>0</v>
      </c>
      <c r="S210" s="199">
        <f t="shared" si="6"/>
        <v>0</v>
      </c>
      <c r="T210" s="198">
        <f t="shared" si="7"/>
        <v>0</v>
      </c>
      <c r="U210" s="198"/>
      <c r="V210" s="198"/>
      <c r="W210" s="198">
        <f t="shared" si="8"/>
        <v>0</v>
      </c>
      <c r="X210" s="200"/>
    </row>
    <row r="211">
      <c r="A211" s="135"/>
      <c r="B211" s="135"/>
      <c r="C211" s="135"/>
      <c r="D211" s="195"/>
      <c r="E211" s="135" t="str">
        <f>IFERROR(VLOOKUP(C211,'Công T5'!$C$7:$F$89,4,0),"")</f>
        <v/>
      </c>
      <c r="F211" s="137" t="str">
        <f>IFERROR(__xludf.DUMMYFUNCTION("INDEX(FILTER('Công T5'!$B$8:$C$89,'Công T5'!$C$8:$C$89=C211),1,1)"),"")</f>
        <v/>
      </c>
      <c r="G211" s="138" t="str">
        <f>IFERROR(__xludf.DUMMYFUNCTION("IFERROR(INDEX(FILTER('Vân tay'!$A$5:$O270,'Vân tay'!$C$5:$C270=F211,'Vân tay'!$B$5:$B270=D211),1,10),"""")"),"")</f>
        <v/>
      </c>
      <c r="H211" s="138" t="str">
        <f>IFERROR(__xludf.DUMMYFUNCTION("IFERROR(INDEX(FILTER('Vân tay'!$A$5:$O270,'Vân tay'!$C$5:$C270=F211,'Vân tay'!$B$5:$B270=D211),1,11),"""")"),"")</f>
        <v/>
      </c>
      <c r="I211" s="138" t="str">
        <f>IFERROR(__xludf.DUMMYFUNCTION("IFERROR(INDEX(FILTER('Vân tay'!$A$5:$O270,'Vân tay'!$C$5:$C270=F211,'Vân tay'!$B$5:$B270=D211),1,14),"""")"),"")</f>
        <v/>
      </c>
      <c r="J211" s="138" t="str">
        <f>IFERROR(__xludf.DUMMYFUNCTION("IFERROR(INDEX(FILTER('Vân tay'!$A$5:$O270,'Vân tay'!$C$5:$C270=F211,'Vân tay'!$B$5:$B270=D211),1,15),"""")"),"")</f>
        <v/>
      </c>
      <c r="K211" s="196" t="str">
        <f t="shared" si="1"/>
        <v/>
      </c>
      <c r="L211" s="196" t="str">
        <f t="shared" si="2"/>
        <v/>
      </c>
      <c r="M211" s="197" t="str">
        <f t="shared" si="9"/>
        <v/>
      </c>
      <c r="N211" s="198" t="str">
        <f t="shared" si="3"/>
        <v/>
      </c>
      <c r="O211" s="198" t="str">
        <f t="shared" si="10"/>
        <v/>
      </c>
      <c r="P211" s="198"/>
      <c r="Q211" s="198">
        <f t="shared" si="4"/>
        <v>0</v>
      </c>
      <c r="R211" s="198">
        <f t="shared" si="5"/>
        <v>0</v>
      </c>
      <c r="S211" s="199">
        <f t="shared" si="6"/>
        <v>0</v>
      </c>
      <c r="T211" s="198">
        <f t="shared" si="7"/>
        <v>0</v>
      </c>
      <c r="U211" s="198"/>
      <c r="V211" s="198"/>
      <c r="W211" s="198">
        <f t="shared" si="8"/>
        <v>0</v>
      </c>
      <c r="X211" s="200"/>
    </row>
    <row r="212">
      <c r="A212" s="135"/>
      <c r="B212" s="135"/>
      <c r="C212" s="195"/>
      <c r="D212" s="195"/>
      <c r="E212" s="135" t="str">
        <f>IFERROR(VLOOKUP(C212,'Công T5'!$C$7:$F$89,4,0),"")</f>
        <v/>
      </c>
      <c r="F212" s="137" t="str">
        <f>IFERROR(__xludf.DUMMYFUNCTION("INDEX(FILTER('Công T5'!$B$8:$C$89,'Công T5'!$C$8:$C$89=C212),1,1)"),"")</f>
        <v/>
      </c>
      <c r="G212" s="138" t="str">
        <f>IFERROR(__xludf.DUMMYFUNCTION("IFERROR(INDEX(FILTER('Vân tay'!$A$5:$O270,'Vân tay'!$C$5:$C270=F212,'Vân tay'!$B$5:$B270=D212),1,10),"""")"),"")</f>
        <v/>
      </c>
      <c r="H212" s="138" t="str">
        <f>IFERROR(__xludf.DUMMYFUNCTION("IFERROR(INDEX(FILTER('Vân tay'!$A$5:$O270,'Vân tay'!$C$5:$C270=F212,'Vân tay'!$B$5:$B270=D212),1,11),"""")"),"")</f>
        <v/>
      </c>
      <c r="I212" s="138" t="str">
        <f>IFERROR(__xludf.DUMMYFUNCTION("IFERROR(INDEX(FILTER('Vân tay'!$A$5:$O270,'Vân tay'!$C$5:$C270=F212,'Vân tay'!$B$5:$B270=D212),1,14),"""")"),"")</f>
        <v/>
      </c>
      <c r="J212" s="138" t="str">
        <f>IFERROR(__xludf.DUMMYFUNCTION("IFERROR(INDEX(FILTER('Vân tay'!$A$5:$O270,'Vân tay'!$C$5:$C270=F212,'Vân tay'!$B$5:$B270=D212),1,15),"""")"),"")</f>
        <v/>
      </c>
      <c r="K212" s="196" t="str">
        <f t="shared" si="1"/>
        <v/>
      </c>
      <c r="L212" s="196" t="str">
        <f t="shared" si="2"/>
        <v/>
      </c>
      <c r="M212" s="197" t="str">
        <f t="shared" si="9"/>
        <v/>
      </c>
      <c r="N212" s="198" t="str">
        <f t="shared" si="3"/>
        <v/>
      </c>
      <c r="O212" s="198" t="str">
        <f t="shared" si="10"/>
        <v/>
      </c>
      <c r="P212" s="198"/>
      <c r="Q212" s="198">
        <f t="shared" si="4"/>
        <v>0</v>
      </c>
      <c r="R212" s="198">
        <f t="shared" si="5"/>
        <v>0</v>
      </c>
      <c r="S212" s="199">
        <f t="shared" si="6"/>
        <v>0</v>
      </c>
      <c r="T212" s="198">
        <f t="shared" si="7"/>
        <v>0</v>
      </c>
      <c r="U212" s="198"/>
      <c r="V212" s="198"/>
      <c r="W212" s="198">
        <f t="shared" si="8"/>
        <v>0</v>
      </c>
      <c r="X212" s="200"/>
    </row>
    <row r="213">
      <c r="A213" s="135"/>
      <c r="B213" s="135"/>
      <c r="C213" s="135"/>
      <c r="D213" s="195"/>
      <c r="E213" s="135" t="str">
        <f>IFERROR(VLOOKUP(C213,'Công T5'!$C$7:$F$89,4,0),"")</f>
        <v/>
      </c>
      <c r="F213" s="137" t="str">
        <f>IFERROR(__xludf.DUMMYFUNCTION("INDEX(FILTER('Công T5'!$B$8:$C$89,'Công T5'!$C$8:$C$89=C213),1,1)"),"")</f>
        <v/>
      </c>
      <c r="G213" s="138" t="str">
        <f>IFERROR(__xludf.DUMMYFUNCTION("IFERROR(INDEX(FILTER('Vân tay'!$A$5:$O270,'Vân tay'!$C$5:$C270=F213,'Vân tay'!$B$5:$B270=D213),1,10),"""")"),"")</f>
        <v/>
      </c>
      <c r="H213" s="138" t="str">
        <f>IFERROR(__xludf.DUMMYFUNCTION("IFERROR(INDEX(FILTER('Vân tay'!$A$5:$O270,'Vân tay'!$C$5:$C270=F213,'Vân tay'!$B$5:$B270=D213),1,11),"""")"),"")</f>
        <v/>
      </c>
      <c r="I213" s="138" t="str">
        <f>IFERROR(__xludf.DUMMYFUNCTION("IFERROR(INDEX(FILTER('Vân tay'!$A$5:$O270,'Vân tay'!$C$5:$C270=F213,'Vân tay'!$B$5:$B270=D213),1,14),"""")"),"")</f>
        <v/>
      </c>
      <c r="J213" s="138" t="str">
        <f>IFERROR(__xludf.DUMMYFUNCTION("IFERROR(INDEX(FILTER('Vân tay'!$A$5:$O270,'Vân tay'!$C$5:$C270=F213,'Vân tay'!$B$5:$B270=D213),1,15),"""")"),"")</f>
        <v/>
      </c>
      <c r="K213" s="196" t="str">
        <f t="shared" si="1"/>
        <v/>
      </c>
      <c r="L213" s="196" t="str">
        <f t="shared" si="2"/>
        <v/>
      </c>
      <c r="M213" s="197" t="str">
        <f t="shared" si="9"/>
        <v/>
      </c>
      <c r="N213" s="198" t="str">
        <f t="shared" si="3"/>
        <v/>
      </c>
      <c r="O213" s="198" t="str">
        <f t="shared" si="10"/>
        <v/>
      </c>
      <c r="P213" s="198"/>
      <c r="Q213" s="198">
        <f t="shared" si="4"/>
        <v>0</v>
      </c>
      <c r="R213" s="198">
        <f t="shared" si="5"/>
        <v>0</v>
      </c>
      <c r="S213" s="199">
        <f t="shared" si="6"/>
        <v>0</v>
      </c>
      <c r="T213" s="198">
        <f t="shared" si="7"/>
        <v>0</v>
      </c>
      <c r="U213" s="198"/>
      <c r="V213" s="198"/>
      <c r="W213" s="198">
        <f t="shared" si="8"/>
        <v>0</v>
      </c>
      <c r="X213" s="200"/>
    </row>
    <row r="214">
      <c r="A214" s="135"/>
      <c r="B214" s="135"/>
      <c r="C214" s="135"/>
      <c r="D214" s="195"/>
      <c r="E214" s="135" t="str">
        <f>IFERROR(VLOOKUP(C214,'Công T5'!$C$7:$F$89,4,0),"")</f>
        <v/>
      </c>
      <c r="F214" s="137" t="str">
        <f>IFERROR(__xludf.DUMMYFUNCTION("INDEX(FILTER('Công T5'!$B$8:$C$89,'Công T5'!$C$8:$C$89=C214),1,1)"),"")</f>
        <v/>
      </c>
      <c r="G214" s="138" t="str">
        <f>IFERROR(__xludf.DUMMYFUNCTION("IFERROR(INDEX(FILTER('Vân tay'!$A$5:$O270,'Vân tay'!$C$5:$C270=F214,'Vân tay'!$B$5:$B270=D214),1,10),"""")"),"")</f>
        <v/>
      </c>
      <c r="H214" s="138" t="str">
        <f>IFERROR(__xludf.DUMMYFUNCTION("IFERROR(INDEX(FILTER('Vân tay'!$A$5:$O270,'Vân tay'!$C$5:$C270=F214,'Vân tay'!$B$5:$B270=D214),1,11),"""")"),"")</f>
        <v/>
      </c>
      <c r="I214" s="138" t="str">
        <f>IFERROR(__xludf.DUMMYFUNCTION("IFERROR(INDEX(FILTER('Vân tay'!$A$5:$O270,'Vân tay'!$C$5:$C270=F214,'Vân tay'!$B$5:$B270=D214),1,14),"""")"),"")</f>
        <v/>
      </c>
      <c r="J214" s="138" t="str">
        <f>IFERROR(__xludf.DUMMYFUNCTION("IFERROR(INDEX(FILTER('Vân tay'!$A$5:$O270,'Vân tay'!$C$5:$C270=F214,'Vân tay'!$B$5:$B270=D214),1,15),"""")"),"")</f>
        <v/>
      </c>
      <c r="K214" s="196" t="str">
        <f t="shared" si="1"/>
        <v/>
      </c>
      <c r="L214" s="196" t="str">
        <f t="shared" si="2"/>
        <v/>
      </c>
      <c r="M214" s="197" t="str">
        <f t="shared" si="9"/>
        <v/>
      </c>
      <c r="N214" s="198" t="str">
        <f t="shared" si="3"/>
        <v/>
      </c>
      <c r="O214" s="198" t="str">
        <f t="shared" si="10"/>
        <v/>
      </c>
      <c r="P214" s="198"/>
      <c r="Q214" s="198">
        <f t="shared" si="4"/>
        <v>0</v>
      </c>
      <c r="R214" s="198">
        <f t="shared" si="5"/>
        <v>0</v>
      </c>
      <c r="S214" s="199">
        <f t="shared" si="6"/>
        <v>0</v>
      </c>
      <c r="T214" s="198">
        <f t="shared" si="7"/>
        <v>0</v>
      </c>
      <c r="U214" s="198"/>
      <c r="V214" s="198"/>
      <c r="W214" s="198">
        <f t="shared" si="8"/>
        <v>0</v>
      </c>
      <c r="X214" s="200"/>
    </row>
    <row r="215">
      <c r="A215" s="135"/>
      <c r="B215" s="135"/>
      <c r="C215" s="135"/>
      <c r="D215" s="195"/>
      <c r="E215" s="135" t="str">
        <f>IFERROR(VLOOKUP(C215,'Công T5'!$C$7:$F$89,4,0),"")</f>
        <v/>
      </c>
      <c r="F215" s="137" t="str">
        <f>IFERROR(__xludf.DUMMYFUNCTION("INDEX(FILTER('Công T5'!$B$8:$C$89,'Công T5'!$C$8:$C$89=C215),1,1)"),"")</f>
        <v/>
      </c>
      <c r="G215" s="138" t="str">
        <f>IFERROR(__xludf.DUMMYFUNCTION("IFERROR(INDEX(FILTER('Vân tay'!$A$5:$O270,'Vân tay'!$C$5:$C270=F215,'Vân tay'!$B$5:$B270=D215),1,10),"""")"),"")</f>
        <v/>
      </c>
      <c r="H215" s="138" t="str">
        <f>IFERROR(__xludf.DUMMYFUNCTION("IFERROR(INDEX(FILTER('Vân tay'!$A$5:$O270,'Vân tay'!$C$5:$C270=F215,'Vân tay'!$B$5:$B270=D215),1,11),"""")"),"")</f>
        <v/>
      </c>
      <c r="I215" s="138" t="str">
        <f>IFERROR(__xludf.DUMMYFUNCTION("IFERROR(INDEX(FILTER('Vân tay'!$A$5:$O270,'Vân tay'!$C$5:$C270=F215,'Vân tay'!$B$5:$B270=D215),1,14),"""")"),"")</f>
        <v/>
      </c>
      <c r="J215" s="138" t="str">
        <f>IFERROR(__xludf.DUMMYFUNCTION("IFERROR(INDEX(FILTER('Vân tay'!$A$5:$O270,'Vân tay'!$C$5:$C270=F215,'Vân tay'!$B$5:$B270=D215),1,15),"""")"),"")</f>
        <v/>
      </c>
      <c r="K215" s="196" t="str">
        <f t="shared" si="1"/>
        <v/>
      </c>
      <c r="L215" s="196" t="str">
        <f t="shared" si="2"/>
        <v/>
      </c>
      <c r="M215" s="197" t="str">
        <f t="shared" si="9"/>
        <v/>
      </c>
      <c r="N215" s="198" t="str">
        <f t="shared" si="3"/>
        <v/>
      </c>
      <c r="O215" s="198" t="str">
        <f t="shared" si="10"/>
        <v/>
      </c>
      <c r="P215" s="198"/>
      <c r="Q215" s="198">
        <f t="shared" si="4"/>
        <v>0</v>
      </c>
      <c r="R215" s="198">
        <f t="shared" si="5"/>
        <v>0</v>
      </c>
      <c r="S215" s="199">
        <f t="shared" si="6"/>
        <v>0</v>
      </c>
      <c r="T215" s="198">
        <f t="shared" si="7"/>
        <v>0</v>
      </c>
      <c r="U215" s="198"/>
      <c r="V215" s="198"/>
      <c r="W215" s="198">
        <f t="shared" si="8"/>
        <v>0</v>
      </c>
      <c r="X215" s="200"/>
    </row>
    <row r="216">
      <c r="A216" s="135"/>
      <c r="B216" s="135"/>
      <c r="C216" s="135"/>
      <c r="D216" s="195"/>
      <c r="E216" s="135" t="str">
        <f>IFERROR(VLOOKUP(C216,'Công T5'!$C$7:$F$89,4,0),"")</f>
        <v/>
      </c>
      <c r="F216" s="137" t="str">
        <f>IFERROR(__xludf.DUMMYFUNCTION("INDEX(FILTER('Công T5'!$B$8:$C$89,'Công T5'!$C$8:$C$89=C216),1,1)"),"")</f>
        <v/>
      </c>
      <c r="G216" s="138" t="str">
        <f>IFERROR(__xludf.DUMMYFUNCTION("IFERROR(INDEX(FILTER('Vân tay'!$A$5:$O270,'Vân tay'!$C$5:$C270=F216,'Vân tay'!$B$5:$B270=D216),1,10),"""")"),"")</f>
        <v/>
      </c>
      <c r="H216" s="138" t="str">
        <f>IFERROR(__xludf.DUMMYFUNCTION("IFERROR(INDEX(FILTER('Vân tay'!$A$5:$O270,'Vân tay'!$C$5:$C270=F216,'Vân tay'!$B$5:$B270=D216),1,11),"""")"),"")</f>
        <v/>
      </c>
      <c r="I216" s="138" t="str">
        <f>IFERROR(__xludf.DUMMYFUNCTION("IFERROR(INDEX(FILTER('Vân tay'!$A$5:$O270,'Vân tay'!$C$5:$C270=F216,'Vân tay'!$B$5:$B270=D216),1,14),"""")"),"")</f>
        <v/>
      </c>
      <c r="J216" s="138" t="str">
        <f>IFERROR(__xludf.DUMMYFUNCTION("IFERROR(INDEX(FILTER('Vân tay'!$A$5:$O270,'Vân tay'!$C$5:$C270=F216,'Vân tay'!$B$5:$B270=D216),1,15),"""")"),"")</f>
        <v/>
      </c>
      <c r="K216" s="196" t="str">
        <f t="shared" si="1"/>
        <v/>
      </c>
      <c r="L216" s="196" t="str">
        <f t="shared" si="2"/>
        <v/>
      </c>
      <c r="M216" s="197" t="str">
        <f t="shared" si="9"/>
        <v/>
      </c>
      <c r="N216" s="198" t="str">
        <f t="shared" si="3"/>
        <v/>
      </c>
      <c r="O216" s="198" t="str">
        <f t="shared" si="10"/>
        <v/>
      </c>
      <c r="P216" s="198"/>
      <c r="Q216" s="198">
        <f t="shared" si="4"/>
        <v>0</v>
      </c>
      <c r="R216" s="198">
        <f t="shared" si="5"/>
        <v>0</v>
      </c>
      <c r="S216" s="199">
        <f t="shared" si="6"/>
        <v>0</v>
      </c>
      <c r="T216" s="198">
        <f t="shared" si="7"/>
        <v>0</v>
      </c>
      <c r="U216" s="198"/>
      <c r="V216" s="198"/>
      <c r="W216" s="198">
        <f t="shared" si="8"/>
        <v>0</v>
      </c>
      <c r="X216" s="200"/>
    </row>
    <row r="217">
      <c r="A217" s="135"/>
      <c r="B217" s="135"/>
      <c r="C217" s="195"/>
      <c r="D217" s="195"/>
      <c r="E217" s="135" t="str">
        <f>IFERROR(VLOOKUP(C217,'Công T5'!$C$7:$F$89,4,0),"")</f>
        <v/>
      </c>
      <c r="F217" s="137" t="str">
        <f>IFERROR(__xludf.DUMMYFUNCTION("INDEX(FILTER('Công T5'!$B$8:$C$89,'Công T5'!$C$8:$C$89=C217),1,1)"),"")</f>
        <v/>
      </c>
      <c r="G217" s="138" t="str">
        <f>IFERROR(__xludf.DUMMYFUNCTION("IFERROR(INDEX(FILTER('Vân tay'!$A$5:$O270,'Vân tay'!$C$5:$C270=F217,'Vân tay'!$B$5:$B270=D217),1,10),"""")"),"")</f>
        <v/>
      </c>
      <c r="H217" s="138" t="str">
        <f>IFERROR(__xludf.DUMMYFUNCTION("IFERROR(INDEX(FILTER('Vân tay'!$A$5:$O270,'Vân tay'!$C$5:$C270=F217,'Vân tay'!$B$5:$B270=D217),1,11),"""")"),"")</f>
        <v/>
      </c>
      <c r="I217" s="138" t="str">
        <f>IFERROR(__xludf.DUMMYFUNCTION("IFERROR(INDEX(FILTER('Vân tay'!$A$5:$O270,'Vân tay'!$C$5:$C270=F217,'Vân tay'!$B$5:$B270=D217),1,14),"""")"),"")</f>
        <v/>
      </c>
      <c r="J217" s="138" t="str">
        <f>IFERROR(__xludf.DUMMYFUNCTION("IFERROR(INDEX(FILTER('Vân tay'!$A$5:$O270,'Vân tay'!$C$5:$C270=F217,'Vân tay'!$B$5:$B270=D217),1,15),"""")"),"")</f>
        <v/>
      </c>
      <c r="K217" s="196" t="str">
        <f t="shared" si="1"/>
        <v/>
      </c>
      <c r="L217" s="196" t="str">
        <f t="shared" si="2"/>
        <v/>
      </c>
      <c r="M217" s="197" t="str">
        <f t="shared" si="9"/>
        <v/>
      </c>
      <c r="N217" s="198" t="str">
        <f t="shared" si="3"/>
        <v/>
      </c>
      <c r="O217" s="198" t="str">
        <f t="shared" si="10"/>
        <v/>
      </c>
      <c r="P217" s="198"/>
      <c r="Q217" s="198">
        <f t="shared" si="4"/>
        <v>0</v>
      </c>
      <c r="R217" s="198">
        <f t="shared" si="5"/>
        <v>0</v>
      </c>
      <c r="S217" s="199">
        <f t="shared" si="6"/>
        <v>0</v>
      </c>
      <c r="T217" s="198">
        <f t="shared" si="7"/>
        <v>0</v>
      </c>
      <c r="U217" s="198"/>
      <c r="V217" s="198"/>
      <c r="W217" s="198">
        <f t="shared" si="8"/>
        <v>0</v>
      </c>
      <c r="X217" s="200"/>
    </row>
    <row r="218">
      <c r="A218" s="135"/>
      <c r="B218" s="135"/>
      <c r="C218" s="135"/>
      <c r="D218" s="195"/>
      <c r="E218" s="135" t="str">
        <f>IFERROR(VLOOKUP(C218,'Công T5'!$C$7:$F$89,4,0),"")</f>
        <v/>
      </c>
      <c r="F218" s="137" t="str">
        <f>IFERROR(__xludf.DUMMYFUNCTION("INDEX(FILTER('Công T5'!$B$8:$C$89,'Công T5'!$C$8:$C$89=C218),1,1)"),"")</f>
        <v/>
      </c>
      <c r="G218" s="138" t="str">
        <f>IFERROR(__xludf.DUMMYFUNCTION("IFERROR(INDEX(FILTER('Vân tay'!$A$5:$O270,'Vân tay'!$C$5:$C270=F218,'Vân tay'!$B$5:$B270=D218),1,10),"""")"),"")</f>
        <v/>
      </c>
      <c r="H218" s="138" t="str">
        <f>IFERROR(__xludf.DUMMYFUNCTION("IFERROR(INDEX(FILTER('Vân tay'!$A$5:$O270,'Vân tay'!$C$5:$C270=F218,'Vân tay'!$B$5:$B270=D218),1,11),"""")"),"")</f>
        <v/>
      </c>
      <c r="I218" s="138" t="str">
        <f>IFERROR(__xludf.DUMMYFUNCTION("IFERROR(INDEX(FILTER('Vân tay'!$A$5:$O270,'Vân tay'!$C$5:$C270=F218,'Vân tay'!$B$5:$B270=D218),1,14),"""")"),"")</f>
        <v/>
      </c>
      <c r="J218" s="138" t="str">
        <f>IFERROR(__xludf.DUMMYFUNCTION("IFERROR(INDEX(FILTER('Vân tay'!$A$5:$O270,'Vân tay'!$C$5:$C270=F218,'Vân tay'!$B$5:$B270=D218),1,15),"""")"),"")</f>
        <v/>
      </c>
      <c r="K218" s="196" t="str">
        <f t="shared" si="1"/>
        <v/>
      </c>
      <c r="L218" s="196" t="str">
        <f t="shared" si="2"/>
        <v/>
      </c>
      <c r="M218" s="197" t="str">
        <f t="shared" si="9"/>
        <v/>
      </c>
      <c r="N218" s="198" t="str">
        <f t="shared" si="3"/>
        <v/>
      </c>
      <c r="O218" s="198" t="str">
        <f t="shared" si="10"/>
        <v/>
      </c>
      <c r="P218" s="198"/>
      <c r="Q218" s="198">
        <f t="shared" si="4"/>
        <v>0</v>
      </c>
      <c r="R218" s="198">
        <f t="shared" si="5"/>
        <v>0</v>
      </c>
      <c r="S218" s="199">
        <f t="shared" si="6"/>
        <v>0</v>
      </c>
      <c r="T218" s="198">
        <f t="shared" si="7"/>
        <v>0</v>
      </c>
      <c r="U218" s="198"/>
      <c r="V218" s="198"/>
      <c r="W218" s="198">
        <f t="shared" si="8"/>
        <v>0</v>
      </c>
      <c r="X218" s="200"/>
    </row>
    <row r="219">
      <c r="A219" s="135"/>
      <c r="B219" s="135"/>
      <c r="C219" s="135"/>
      <c r="D219" s="195"/>
      <c r="E219" s="135" t="str">
        <f>IFERROR(VLOOKUP(C219,'Công T5'!$C$7:$F$89,4,0),"")</f>
        <v/>
      </c>
      <c r="F219" s="137" t="str">
        <f>IFERROR(__xludf.DUMMYFUNCTION("INDEX(FILTER('Công T5'!$B$8:$C$89,'Công T5'!$C$8:$C$89=C219),1,1)"),"")</f>
        <v/>
      </c>
      <c r="G219" s="138" t="str">
        <f>IFERROR(__xludf.DUMMYFUNCTION("IFERROR(INDEX(FILTER('Vân tay'!$A$5:$O270,'Vân tay'!$C$5:$C270=F219,'Vân tay'!$B$5:$B270=D219),1,10),"""")"),"")</f>
        <v/>
      </c>
      <c r="H219" s="138" t="str">
        <f>IFERROR(__xludf.DUMMYFUNCTION("IFERROR(INDEX(FILTER('Vân tay'!$A$5:$O270,'Vân tay'!$C$5:$C270=F219,'Vân tay'!$B$5:$B270=D219),1,11),"""")"),"")</f>
        <v/>
      </c>
      <c r="I219" s="138" t="str">
        <f>IFERROR(__xludf.DUMMYFUNCTION("IFERROR(INDEX(FILTER('Vân tay'!$A$5:$O270,'Vân tay'!$C$5:$C270=F219,'Vân tay'!$B$5:$B270=D219),1,14),"""")"),"")</f>
        <v/>
      </c>
      <c r="J219" s="138" t="str">
        <f>IFERROR(__xludf.DUMMYFUNCTION("IFERROR(INDEX(FILTER('Vân tay'!$A$5:$O270,'Vân tay'!$C$5:$C270=F219,'Vân tay'!$B$5:$B270=D219),1,15),"""")"),"")</f>
        <v/>
      </c>
      <c r="K219" s="196" t="str">
        <f t="shared" si="1"/>
        <v/>
      </c>
      <c r="L219" s="196" t="str">
        <f t="shared" si="2"/>
        <v/>
      </c>
      <c r="M219" s="197" t="str">
        <f t="shared" si="9"/>
        <v/>
      </c>
      <c r="N219" s="198" t="str">
        <f t="shared" si="3"/>
        <v/>
      </c>
      <c r="O219" s="198" t="str">
        <f t="shared" si="10"/>
        <v/>
      </c>
      <c r="P219" s="198"/>
      <c r="Q219" s="198">
        <f t="shared" si="4"/>
        <v>0</v>
      </c>
      <c r="R219" s="198">
        <f t="shared" si="5"/>
        <v>0</v>
      </c>
      <c r="S219" s="199">
        <f t="shared" si="6"/>
        <v>0</v>
      </c>
      <c r="T219" s="198">
        <f t="shared" si="7"/>
        <v>0</v>
      </c>
      <c r="U219" s="198"/>
      <c r="V219" s="198"/>
      <c r="W219" s="198">
        <f t="shared" si="8"/>
        <v>0</v>
      </c>
      <c r="X219" s="200"/>
    </row>
    <row r="220">
      <c r="A220" s="135"/>
      <c r="B220" s="135"/>
      <c r="C220" s="135"/>
      <c r="D220" s="208"/>
      <c r="E220" s="135" t="str">
        <f>IFERROR(VLOOKUP(C220,'Công T5'!$C$7:$F$89,4,0),"")</f>
        <v/>
      </c>
      <c r="F220" s="137" t="str">
        <f>IFERROR(__xludf.DUMMYFUNCTION("INDEX(FILTER('Công T5'!$B$8:$C$89,'Công T5'!$C$8:$C$89=C220),1,1)"),"")</f>
        <v/>
      </c>
      <c r="G220" s="138" t="str">
        <f>IFERROR(__xludf.DUMMYFUNCTION("IFERROR(INDEX(FILTER('Vân tay'!$A$5:$O270,'Vân tay'!$C$5:$C270=F220,'Vân tay'!$B$5:$B270=D220),1,10),"""")"),"")</f>
        <v/>
      </c>
      <c r="H220" s="138" t="str">
        <f>IFERROR(__xludf.DUMMYFUNCTION("IFERROR(INDEX(FILTER('Vân tay'!$A$5:$O270,'Vân tay'!$C$5:$C270=F220,'Vân tay'!$B$5:$B270=D220),1,11),"""")"),"")</f>
        <v/>
      </c>
      <c r="I220" s="138" t="str">
        <f>IFERROR(__xludf.DUMMYFUNCTION("IFERROR(INDEX(FILTER('Vân tay'!$A$5:$O270,'Vân tay'!$C$5:$C270=F220,'Vân tay'!$B$5:$B270=D220),1,14),"""")"),"")</f>
        <v/>
      </c>
      <c r="J220" s="138" t="str">
        <f>IFERROR(__xludf.DUMMYFUNCTION("IFERROR(INDEX(FILTER('Vân tay'!$A$5:$O270,'Vân tay'!$C$5:$C270=F220,'Vân tay'!$B$5:$B270=D220),1,15),"""")"),"")</f>
        <v/>
      </c>
      <c r="K220" s="196" t="str">
        <f t="shared" si="1"/>
        <v/>
      </c>
      <c r="L220" s="196" t="str">
        <f t="shared" si="2"/>
        <v/>
      </c>
      <c r="M220" s="197" t="str">
        <f t="shared" si="9"/>
        <v/>
      </c>
      <c r="N220" s="198" t="str">
        <f t="shared" si="3"/>
        <v/>
      </c>
      <c r="O220" s="198" t="str">
        <f t="shared" si="10"/>
        <v/>
      </c>
      <c r="P220" s="198"/>
      <c r="Q220" s="198">
        <f t="shared" si="4"/>
        <v>0</v>
      </c>
      <c r="R220" s="198">
        <f t="shared" si="5"/>
        <v>0</v>
      </c>
      <c r="S220" s="199">
        <f t="shared" si="6"/>
        <v>0</v>
      </c>
      <c r="T220" s="198">
        <f t="shared" si="7"/>
        <v>0</v>
      </c>
      <c r="U220" s="198"/>
      <c r="V220" s="198"/>
      <c r="W220" s="198">
        <f t="shared" si="8"/>
        <v>0</v>
      </c>
      <c r="X220" s="200"/>
    </row>
    <row r="221">
      <c r="A221" s="135"/>
      <c r="B221" s="135"/>
      <c r="C221" s="135"/>
      <c r="D221" s="208"/>
      <c r="E221" s="135" t="str">
        <f>IFERROR(VLOOKUP(C221,'Công T5'!$C$7:$F$89,4,0),"")</f>
        <v/>
      </c>
      <c r="F221" s="137" t="str">
        <f>IFERROR(__xludf.DUMMYFUNCTION("INDEX(FILTER('Công T5'!$B$8:$C$89,'Công T5'!$C$8:$C$89=C221),1,1)"),"")</f>
        <v/>
      </c>
      <c r="G221" s="138" t="str">
        <f>IFERROR(__xludf.DUMMYFUNCTION("IFERROR(INDEX(FILTER('Vân tay'!$A$5:$O270,'Vân tay'!$C$5:$C270=F221,'Vân tay'!$B$5:$B270=D221),1,10),"""")"),"")</f>
        <v/>
      </c>
      <c r="H221" s="138" t="str">
        <f>IFERROR(__xludf.DUMMYFUNCTION("IFERROR(INDEX(FILTER('Vân tay'!$A$5:$O270,'Vân tay'!$C$5:$C270=F221,'Vân tay'!$B$5:$B270=D221),1,11),"""")"),"")</f>
        <v/>
      </c>
      <c r="I221" s="138" t="str">
        <f>IFERROR(__xludf.DUMMYFUNCTION("IFERROR(INDEX(FILTER('Vân tay'!$A$5:$O270,'Vân tay'!$C$5:$C270=F221,'Vân tay'!$B$5:$B270=D221),1,14),"""")"),"")</f>
        <v/>
      </c>
      <c r="J221" s="138" t="str">
        <f>IFERROR(__xludf.DUMMYFUNCTION("IFERROR(INDEX(FILTER('Vân tay'!$A$5:$O270,'Vân tay'!$C$5:$C270=F221,'Vân tay'!$B$5:$B270=D221),1,15),"""")"),"")</f>
        <v/>
      </c>
      <c r="K221" s="196" t="str">
        <f t="shared" si="1"/>
        <v/>
      </c>
      <c r="L221" s="196" t="str">
        <f t="shared" si="2"/>
        <v/>
      </c>
      <c r="M221" s="197" t="str">
        <f t="shared" si="9"/>
        <v/>
      </c>
      <c r="N221" s="198" t="str">
        <f t="shared" si="3"/>
        <v/>
      </c>
      <c r="O221" s="198" t="str">
        <f t="shared" si="10"/>
        <v/>
      </c>
      <c r="P221" s="198"/>
      <c r="Q221" s="198">
        <f t="shared" si="4"/>
        <v>0</v>
      </c>
      <c r="R221" s="198">
        <f t="shared" si="5"/>
        <v>0</v>
      </c>
      <c r="S221" s="199">
        <f t="shared" si="6"/>
        <v>0</v>
      </c>
      <c r="T221" s="198">
        <f t="shared" si="7"/>
        <v>0</v>
      </c>
      <c r="U221" s="198"/>
      <c r="V221" s="198"/>
      <c r="W221" s="198">
        <f t="shared" si="8"/>
        <v>0</v>
      </c>
      <c r="X221" s="200"/>
    </row>
    <row r="222">
      <c r="A222" s="135"/>
      <c r="B222" s="135"/>
      <c r="C222" s="135"/>
      <c r="D222" s="208"/>
      <c r="E222" s="135" t="str">
        <f>IFERROR(VLOOKUP(C222,'Công T5'!$C$7:$F$89,4,0),"")</f>
        <v/>
      </c>
      <c r="F222" s="137" t="str">
        <f>IFERROR(__xludf.DUMMYFUNCTION("INDEX(FILTER('Công T5'!$B$8:$C$89,'Công T5'!$C$8:$C$89=C222),1,1)"),"")</f>
        <v/>
      </c>
      <c r="G222" s="138" t="str">
        <f>IFERROR(__xludf.DUMMYFUNCTION("IFERROR(INDEX(FILTER('Vân tay'!$A$5:$O270,'Vân tay'!$C$5:$C270=F222,'Vân tay'!$B$5:$B270=D222),1,10),"""")"),"")</f>
        <v/>
      </c>
      <c r="H222" s="138" t="str">
        <f>IFERROR(__xludf.DUMMYFUNCTION("IFERROR(INDEX(FILTER('Vân tay'!$A$5:$O270,'Vân tay'!$C$5:$C270=F222,'Vân tay'!$B$5:$B270=D222),1,11),"""")"),"")</f>
        <v/>
      </c>
      <c r="I222" s="138" t="str">
        <f>IFERROR(__xludf.DUMMYFUNCTION("IFERROR(INDEX(FILTER('Vân tay'!$A$5:$O270,'Vân tay'!$C$5:$C270=F222,'Vân tay'!$B$5:$B270=D222),1,14),"""")"),"")</f>
        <v/>
      </c>
      <c r="J222" s="138" t="str">
        <f>IFERROR(__xludf.DUMMYFUNCTION("IFERROR(INDEX(FILTER('Vân tay'!$A$5:$O270,'Vân tay'!$C$5:$C270=F222,'Vân tay'!$B$5:$B270=D222),1,15),"""")"),"")</f>
        <v/>
      </c>
      <c r="K222" s="196" t="str">
        <f t="shared" si="1"/>
        <v/>
      </c>
      <c r="L222" s="196" t="str">
        <f t="shared" si="2"/>
        <v/>
      </c>
      <c r="M222" s="197" t="str">
        <f t="shared" si="9"/>
        <v/>
      </c>
      <c r="N222" s="198" t="str">
        <f t="shared" si="3"/>
        <v/>
      </c>
      <c r="O222" s="198" t="str">
        <f t="shared" si="10"/>
        <v/>
      </c>
      <c r="P222" s="198"/>
      <c r="Q222" s="198">
        <f t="shared" si="4"/>
        <v>0</v>
      </c>
      <c r="R222" s="198">
        <f t="shared" si="5"/>
        <v>0</v>
      </c>
      <c r="S222" s="199">
        <f t="shared" si="6"/>
        <v>0</v>
      </c>
      <c r="T222" s="198">
        <f t="shared" si="7"/>
        <v>0</v>
      </c>
      <c r="U222" s="198"/>
      <c r="V222" s="198"/>
      <c r="W222" s="198">
        <f t="shared" si="8"/>
        <v>0</v>
      </c>
      <c r="X222" s="200"/>
    </row>
    <row r="223">
      <c r="A223" s="135"/>
      <c r="B223" s="135"/>
      <c r="C223" s="135"/>
      <c r="D223" s="208"/>
      <c r="E223" s="135" t="str">
        <f>IFERROR(VLOOKUP(C223,'Công T5'!$C$7:$F$89,4,0),"")</f>
        <v/>
      </c>
      <c r="F223" s="137" t="str">
        <f>IFERROR(__xludf.DUMMYFUNCTION("INDEX(FILTER('Công T5'!$B$8:$C$89,'Công T5'!$C$8:$C$89=C223),1,1)"),"")</f>
        <v/>
      </c>
      <c r="G223" s="138" t="str">
        <f>IFERROR(__xludf.DUMMYFUNCTION("IFERROR(INDEX(FILTER('Vân tay'!$A$5:$O270,'Vân tay'!$C$5:$C270=F223,'Vân tay'!$B$5:$B270=D223),1,10),"""")"),"")</f>
        <v/>
      </c>
      <c r="H223" s="138" t="str">
        <f>IFERROR(__xludf.DUMMYFUNCTION("IFERROR(INDEX(FILTER('Vân tay'!$A$5:$O270,'Vân tay'!$C$5:$C270=F223,'Vân tay'!$B$5:$B270=D223),1,11),"""")"),"")</f>
        <v/>
      </c>
      <c r="I223" s="138" t="str">
        <f>IFERROR(__xludf.DUMMYFUNCTION("IFERROR(INDEX(FILTER('Vân tay'!$A$5:$O270,'Vân tay'!$C$5:$C270=F223,'Vân tay'!$B$5:$B270=D223),1,14),"""")"),"")</f>
        <v/>
      </c>
      <c r="J223" s="138" t="str">
        <f>IFERROR(__xludf.DUMMYFUNCTION("IFERROR(INDEX(FILTER('Vân tay'!$A$5:$O270,'Vân tay'!$C$5:$C270=F223,'Vân tay'!$B$5:$B270=D223),1,15),"""")"),"")</f>
        <v/>
      </c>
      <c r="K223" s="196" t="str">
        <f t="shared" si="1"/>
        <v/>
      </c>
      <c r="L223" s="196" t="str">
        <f t="shared" si="2"/>
        <v/>
      </c>
      <c r="M223" s="197" t="str">
        <f t="shared" si="9"/>
        <v/>
      </c>
      <c r="N223" s="198" t="str">
        <f t="shared" si="3"/>
        <v/>
      </c>
      <c r="O223" s="198" t="str">
        <f t="shared" si="10"/>
        <v/>
      </c>
      <c r="P223" s="198"/>
      <c r="Q223" s="198">
        <f t="shared" si="4"/>
        <v>0</v>
      </c>
      <c r="R223" s="198">
        <f t="shared" si="5"/>
        <v>0</v>
      </c>
      <c r="S223" s="199">
        <f t="shared" si="6"/>
        <v>0</v>
      </c>
      <c r="T223" s="198">
        <f t="shared" si="7"/>
        <v>0</v>
      </c>
      <c r="U223" s="198"/>
      <c r="V223" s="198"/>
      <c r="W223" s="198">
        <f t="shared" si="8"/>
        <v>0</v>
      </c>
      <c r="X223" s="200"/>
    </row>
    <row r="224">
      <c r="A224" s="135"/>
      <c r="B224" s="135"/>
      <c r="C224" s="135"/>
      <c r="D224" s="195"/>
      <c r="E224" s="135" t="str">
        <f>IFERROR(VLOOKUP(C224,'Công T5'!$C$7:$F$89,4,0),"")</f>
        <v/>
      </c>
      <c r="F224" s="137" t="str">
        <f>IFERROR(__xludf.DUMMYFUNCTION("INDEX(FILTER('Công T5'!$B$8:$C$89,'Công T5'!$C$8:$C$89=C224),1,1)"),"")</f>
        <v/>
      </c>
      <c r="G224" s="138" t="str">
        <f>IFERROR(__xludf.DUMMYFUNCTION("IFERROR(INDEX(FILTER('Vân tay'!$A$5:$O270,'Vân tay'!$C$5:$C270=F224,'Vân tay'!$B$5:$B270=D224),1,10),"""")"),"")</f>
        <v/>
      </c>
      <c r="H224" s="138" t="str">
        <f>IFERROR(__xludf.DUMMYFUNCTION("IFERROR(INDEX(FILTER('Vân tay'!$A$5:$O270,'Vân tay'!$C$5:$C270=F224,'Vân tay'!$B$5:$B270=D224),1,11),"""")"),"")</f>
        <v/>
      </c>
      <c r="I224" s="138" t="str">
        <f>IFERROR(__xludf.DUMMYFUNCTION("IFERROR(INDEX(FILTER('Vân tay'!$A$5:$O270,'Vân tay'!$C$5:$C270=F224,'Vân tay'!$B$5:$B270=D224),1,14),"""")"),"")</f>
        <v/>
      </c>
      <c r="J224" s="138" t="str">
        <f>IFERROR(__xludf.DUMMYFUNCTION("IFERROR(INDEX(FILTER('Vân tay'!$A$5:$O270,'Vân tay'!$C$5:$C270=F224,'Vân tay'!$B$5:$B270=D224),1,15),"""")"),"")</f>
        <v/>
      </c>
      <c r="K224" s="196" t="str">
        <f t="shared" si="1"/>
        <v/>
      </c>
      <c r="L224" s="196" t="str">
        <f t="shared" si="2"/>
        <v/>
      </c>
      <c r="M224" s="197" t="str">
        <f t="shared" si="9"/>
        <v/>
      </c>
      <c r="N224" s="198" t="str">
        <f t="shared" si="3"/>
        <v/>
      </c>
      <c r="O224" s="198" t="str">
        <f t="shared" si="10"/>
        <v/>
      </c>
      <c r="P224" s="198"/>
      <c r="Q224" s="198">
        <f t="shared" si="4"/>
        <v>0</v>
      </c>
      <c r="R224" s="198">
        <f t="shared" si="5"/>
        <v>0</v>
      </c>
      <c r="S224" s="199">
        <f t="shared" si="6"/>
        <v>0</v>
      </c>
      <c r="T224" s="198">
        <f t="shared" si="7"/>
        <v>0</v>
      </c>
      <c r="U224" s="198"/>
      <c r="V224" s="198"/>
      <c r="W224" s="198">
        <f t="shared" si="8"/>
        <v>0</v>
      </c>
      <c r="X224" s="200"/>
    </row>
    <row r="225">
      <c r="A225" s="135"/>
      <c r="B225" s="135"/>
      <c r="C225" s="135"/>
      <c r="D225" s="195"/>
      <c r="E225" s="135" t="str">
        <f>IFERROR(VLOOKUP(C225,'Công T5'!$C$7:$F$89,4,0),"")</f>
        <v/>
      </c>
      <c r="F225" s="137" t="str">
        <f>IFERROR(__xludf.DUMMYFUNCTION("INDEX(FILTER('Công T5'!$B$8:$C$89,'Công T5'!$C$8:$C$89=C225),1,1)"),"")</f>
        <v/>
      </c>
      <c r="G225" s="138" t="str">
        <f>IFERROR(__xludf.DUMMYFUNCTION("IFERROR(INDEX(FILTER('Vân tay'!$A$5:$O270,'Vân tay'!$C$5:$C270=F225,'Vân tay'!$B$5:$B270=D225),1,10),"""")"),"")</f>
        <v/>
      </c>
      <c r="H225" s="138" t="str">
        <f>IFERROR(__xludf.DUMMYFUNCTION("IFERROR(INDEX(FILTER('Vân tay'!$A$5:$O270,'Vân tay'!$C$5:$C270=F225,'Vân tay'!$B$5:$B270=D225),1,11),"""")"),"")</f>
        <v/>
      </c>
      <c r="I225" s="138" t="str">
        <f>IFERROR(__xludf.DUMMYFUNCTION("IFERROR(INDEX(FILTER('Vân tay'!$A$5:$O270,'Vân tay'!$C$5:$C270=F225,'Vân tay'!$B$5:$B270=D225),1,14),"""")"),"")</f>
        <v/>
      </c>
      <c r="J225" s="138" t="str">
        <f>IFERROR(__xludf.DUMMYFUNCTION("IFERROR(INDEX(FILTER('Vân tay'!$A$5:$O270,'Vân tay'!$C$5:$C270=F225,'Vân tay'!$B$5:$B270=D225),1,15),"""")"),"")</f>
        <v/>
      </c>
      <c r="K225" s="196" t="str">
        <f t="shared" si="1"/>
        <v/>
      </c>
      <c r="L225" s="196" t="str">
        <f t="shared" si="2"/>
        <v/>
      </c>
      <c r="M225" s="197" t="str">
        <f t="shared" si="9"/>
        <v/>
      </c>
      <c r="N225" s="198" t="str">
        <f t="shared" si="3"/>
        <v/>
      </c>
      <c r="O225" s="198" t="str">
        <f t="shared" si="10"/>
        <v/>
      </c>
      <c r="P225" s="198"/>
      <c r="Q225" s="198">
        <f t="shared" si="4"/>
        <v>0</v>
      </c>
      <c r="R225" s="198">
        <f t="shared" si="5"/>
        <v>0</v>
      </c>
      <c r="S225" s="199">
        <f t="shared" si="6"/>
        <v>0</v>
      </c>
      <c r="T225" s="198">
        <f t="shared" si="7"/>
        <v>0</v>
      </c>
      <c r="U225" s="198"/>
      <c r="V225" s="198"/>
      <c r="W225" s="198">
        <f t="shared" si="8"/>
        <v>0</v>
      </c>
      <c r="X225" s="200"/>
    </row>
    <row r="226">
      <c r="A226" s="135"/>
      <c r="B226" s="135"/>
      <c r="C226" s="135"/>
      <c r="D226" s="195"/>
      <c r="E226" s="135" t="str">
        <f>IFERROR(VLOOKUP(C226,'Công T5'!$C$7:$F$89,4,0),"")</f>
        <v/>
      </c>
      <c r="F226" s="137" t="str">
        <f>IFERROR(__xludf.DUMMYFUNCTION("INDEX(FILTER('Công T5'!$B$8:$C$89,'Công T5'!$C$8:$C$89=C226),1,1)"),"")</f>
        <v/>
      </c>
      <c r="G226" s="138" t="str">
        <f>IFERROR(__xludf.DUMMYFUNCTION("IFERROR(INDEX(FILTER('Vân tay'!$A$5:$O270,'Vân tay'!$C$5:$C270=F226,'Vân tay'!$B$5:$B270=D226),1,10),"""")"),"")</f>
        <v/>
      </c>
      <c r="H226" s="138" t="str">
        <f>IFERROR(__xludf.DUMMYFUNCTION("IFERROR(INDEX(FILTER('Vân tay'!$A$5:$O270,'Vân tay'!$C$5:$C270=F226,'Vân tay'!$B$5:$B270=D226),1,11),"""")"),"")</f>
        <v/>
      </c>
      <c r="I226" s="138" t="str">
        <f>IFERROR(__xludf.DUMMYFUNCTION("IFERROR(INDEX(FILTER('Vân tay'!$A$5:$O270,'Vân tay'!$C$5:$C270=F226,'Vân tay'!$B$5:$B270=D226),1,14),"""")"),"")</f>
        <v/>
      </c>
      <c r="J226" s="138" t="str">
        <f>IFERROR(__xludf.DUMMYFUNCTION("IFERROR(INDEX(FILTER('Vân tay'!$A$5:$O270,'Vân tay'!$C$5:$C270=F226,'Vân tay'!$B$5:$B270=D226),1,15),"""")"),"")</f>
        <v/>
      </c>
      <c r="K226" s="196" t="str">
        <f t="shared" si="1"/>
        <v/>
      </c>
      <c r="L226" s="196" t="str">
        <f t="shared" si="2"/>
        <v/>
      </c>
      <c r="M226" s="197" t="str">
        <f t="shared" si="9"/>
        <v/>
      </c>
      <c r="N226" s="198" t="str">
        <f t="shared" si="3"/>
        <v/>
      </c>
      <c r="O226" s="198" t="str">
        <f t="shared" si="10"/>
        <v/>
      </c>
      <c r="P226" s="198"/>
      <c r="Q226" s="198">
        <f t="shared" si="4"/>
        <v>0</v>
      </c>
      <c r="R226" s="198">
        <f t="shared" si="5"/>
        <v>0</v>
      </c>
      <c r="S226" s="199">
        <f t="shared" si="6"/>
        <v>0</v>
      </c>
      <c r="T226" s="198">
        <f t="shared" si="7"/>
        <v>0</v>
      </c>
      <c r="U226" s="198"/>
      <c r="V226" s="198"/>
      <c r="W226" s="198">
        <f t="shared" si="8"/>
        <v>0</v>
      </c>
      <c r="X226" s="200"/>
    </row>
    <row r="227">
      <c r="A227" s="135"/>
      <c r="B227" s="135"/>
      <c r="C227" s="135"/>
      <c r="D227" s="195"/>
      <c r="E227" s="135" t="str">
        <f>IFERROR(VLOOKUP(C227,'Công T5'!$C$7:$F$89,4,0),"")</f>
        <v/>
      </c>
      <c r="F227" s="137" t="str">
        <f>IFERROR(__xludf.DUMMYFUNCTION("INDEX(FILTER('Công T5'!$B$8:$C$89,'Công T5'!$C$8:$C$89=C227),1,1)"),"")</f>
        <v/>
      </c>
      <c r="G227" s="138" t="str">
        <f>IFERROR(__xludf.DUMMYFUNCTION("IFERROR(INDEX(FILTER('Vân tay'!$A$5:$O270,'Vân tay'!$C$5:$C270=F227,'Vân tay'!$B$5:$B270=D227),1,10),"""")"),"")</f>
        <v/>
      </c>
      <c r="H227" s="138" t="str">
        <f>IFERROR(__xludf.DUMMYFUNCTION("IFERROR(INDEX(FILTER('Vân tay'!$A$5:$O270,'Vân tay'!$C$5:$C270=F227,'Vân tay'!$B$5:$B270=D227),1,11),"""")"),"")</f>
        <v/>
      </c>
      <c r="I227" s="138" t="str">
        <f>IFERROR(__xludf.DUMMYFUNCTION("IFERROR(INDEX(FILTER('Vân tay'!$A$5:$O270,'Vân tay'!$C$5:$C270=F227,'Vân tay'!$B$5:$B270=D227),1,14),"""")"),"")</f>
        <v/>
      </c>
      <c r="J227" s="138" t="str">
        <f>IFERROR(__xludf.DUMMYFUNCTION("IFERROR(INDEX(FILTER('Vân tay'!$A$5:$O270,'Vân tay'!$C$5:$C270=F227,'Vân tay'!$B$5:$B270=D227),1,15),"""")"),"")</f>
        <v/>
      </c>
      <c r="K227" s="196" t="str">
        <f t="shared" si="1"/>
        <v/>
      </c>
      <c r="L227" s="196" t="str">
        <f t="shared" si="2"/>
        <v/>
      </c>
      <c r="M227" s="197" t="str">
        <f t="shared" si="9"/>
        <v/>
      </c>
      <c r="N227" s="198" t="str">
        <f t="shared" si="3"/>
        <v/>
      </c>
      <c r="O227" s="198" t="str">
        <f t="shared" si="10"/>
        <v/>
      </c>
      <c r="P227" s="198"/>
      <c r="Q227" s="198">
        <f t="shared" si="4"/>
        <v>0</v>
      </c>
      <c r="R227" s="198">
        <f t="shared" si="5"/>
        <v>0</v>
      </c>
      <c r="S227" s="199">
        <f t="shared" si="6"/>
        <v>0</v>
      </c>
      <c r="T227" s="198">
        <f t="shared" si="7"/>
        <v>0</v>
      </c>
      <c r="U227" s="198"/>
      <c r="V227" s="198"/>
      <c r="W227" s="198">
        <f t="shared" si="8"/>
        <v>0</v>
      </c>
      <c r="X227" s="200"/>
    </row>
    <row r="228">
      <c r="A228" s="135"/>
      <c r="B228" s="135"/>
      <c r="C228" s="135"/>
      <c r="D228" s="195"/>
      <c r="E228" s="135" t="str">
        <f>IFERROR(VLOOKUP(C228,'Công T5'!$C$7:$F$89,4,0),"")</f>
        <v/>
      </c>
      <c r="F228" s="137" t="str">
        <f>IFERROR(__xludf.DUMMYFUNCTION("INDEX(FILTER('Công T5'!$B$8:$C$89,'Công T5'!$C$8:$C$89=C228),1,1)"),"")</f>
        <v/>
      </c>
      <c r="G228" s="138" t="str">
        <f>IFERROR(__xludf.DUMMYFUNCTION("IFERROR(INDEX(FILTER('Vân tay'!$A$5:$O270,'Vân tay'!$C$5:$C270=F228,'Vân tay'!$B$5:$B270=D228),1,10),"""")"),"")</f>
        <v/>
      </c>
      <c r="H228" s="138" t="str">
        <f>IFERROR(__xludf.DUMMYFUNCTION("IFERROR(INDEX(FILTER('Vân tay'!$A$5:$O270,'Vân tay'!$C$5:$C270=F228,'Vân tay'!$B$5:$B270=D228),1,11),"""")"),"")</f>
        <v/>
      </c>
      <c r="I228" s="138" t="str">
        <f>IFERROR(__xludf.DUMMYFUNCTION("IFERROR(INDEX(FILTER('Vân tay'!$A$5:$O270,'Vân tay'!$C$5:$C270=F228,'Vân tay'!$B$5:$B270=D228),1,14),"""")"),"")</f>
        <v/>
      </c>
      <c r="J228" s="138" t="str">
        <f>IFERROR(__xludf.DUMMYFUNCTION("IFERROR(INDEX(FILTER('Vân tay'!$A$5:$O270,'Vân tay'!$C$5:$C270=F228,'Vân tay'!$B$5:$B270=D228),1,15),"""")"),"")</f>
        <v/>
      </c>
      <c r="K228" s="196" t="str">
        <f t="shared" si="1"/>
        <v/>
      </c>
      <c r="L228" s="196" t="str">
        <f t="shared" si="2"/>
        <v/>
      </c>
      <c r="M228" s="197" t="str">
        <f t="shared" si="9"/>
        <v/>
      </c>
      <c r="N228" s="198" t="str">
        <f t="shared" si="3"/>
        <v/>
      </c>
      <c r="O228" s="198" t="str">
        <f t="shared" si="10"/>
        <v/>
      </c>
      <c r="P228" s="198"/>
      <c r="Q228" s="198">
        <f t="shared" si="4"/>
        <v>0</v>
      </c>
      <c r="R228" s="198">
        <f t="shared" si="5"/>
        <v>0</v>
      </c>
      <c r="S228" s="199">
        <f t="shared" si="6"/>
        <v>0</v>
      </c>
      <c r="T228" s="198">
        <f t="shared" si="7"/>
        <v>0</v>
      </c>
      <c r="U228" s="198"/>
      <c r="V228" s="198"/>
      <c r="W228" s="198">
        <f t="shared" si="8"/>
        <v>0</v>
      </c>
      <c r="X228" s="200"/>
    </row>
    <row r="229">
      <c r="A229" s="135"/>
      <c r="B229" s="135"/>
      <c r="C229" s="195"/>
      <c r="D229" s="195"/>
      <c r="E229" s="135" t="str">
        <f>IFERROR(VLOOKUP(C229,'Công T5'!$C$7:$F$89,4,0),"")</f>
        <v/>
      </c>
      <c r="F229" s="137" t="str">
        <f>IFERROR(__xludf.DUMMYFUNCTION("INDEX(FILTER('Công T5'!$B$8:$C$89,'Công T5'!$C$8:$C$89=C229),1,1)"),"")</f>
        <v/>
      </c>
      <c r="G229" s="138" t="str">
        <f>IFERROR(__xludf.DUMMYFUNCTION("IFERROR(INDEX(FILTER('Vân tay'!$A$5:$O270,'Vân tay'!$C$5:$C270=F229,'Vân tay'!$B$5:$B270=D229),1,10),"""")"),"")</f>
        <v/>
      </c>
      <c r="H229" s="138" t="str">
        <f>IFERROR(__xludf.DUMMYFUNCTION("IFERROR(INDEX(FILTER('Vân tay'!$A$5:$O270,'Vân tay'!$C$5:$C270=F229,'Vân tay'!$B$5:$B270=D229),1,11),"""")"),"")</f>
        <v/>
      </c>
      <c r="I229" s="138" t="str">
        <f>IFERROR(__xludf.DUMMYFUNCTION("IFERROR(INDEX(FILTER('Vân tay'!$A$5:$O270,'Vân tay'!$C$5:$C270=F229,'Vân tay'!$B$5:$B270=D229),1,14),"""")"),"")</f>
        <v/>
      </c>
      <c r="J229" s="138" t="str">
        <f>IFERROR(__xludf.DUMMYFUNCTION("IFERROR(INDEX(FILTER('Vân tay'!$A$5:$O270,'Vân tay'!$C$5:$C270=F229,'Vân tay'!$B$5:$B270=D229),1,15),"""")"),"")</f>
        <v/>
      </c>
      <c r="K229" s="196" t="str">
        <f t="shared" si="1"/>
        <v/>
      </c>
      <c r="L229" s="196" t="str">
        <f t="shared" si="2"/>
        <v/>
      </c>
      <c r="M229" s="197" t="str">
        <f t="shared" si="9"/>
        <v/>
      </c>
      <c r="N229" s="198" t="str">
        <f t="shared" si="3"/>
        <v/>
      </c>
      <c r="O229" s="198" t="str">
        <f t="shared" si="10"/>
        <v/>
      </c>
      <c r="P229" s="198"/>
      <c r="Q229" s="198">
        <f t="shared" si="4"/>
        <v>0</v>
      </c>
      <c r="R229" s="198">
        <f t="shared" si="5"/>
        <v>0</v>
      </c>
      <c r="S229" s="199">
        <f t="shared" si="6"/>
        <v>0</v>
      </c>
      <c r="T229" s="198">
        <f t="shared" si="7"/>
        <v>0</v>
      </c>
      <c r="U229" s="198"/>
      <c r="V229" s="198"/>
      <c r="W229" s="198">
        <f t="shared" si="8"/>
        <v>0</v>
      </c>
      <c r="X229" s="200"/>
    </row>
    <row r="230">
      <c r="A230" s="135"/>
      <c r="B230" s="135"/>
      <c r="C230" s="135"/>
      <c r="D230" s="195"/>
      <c r="E230" s="135" t="str">
        <f>IFERROR(VLOOKUP(C230,'Công T5'!$C$7:$F$89,4,0),"")</f>
        <v/>
      </c>
      <c r="F230" s="137" t="str">
        <f>IFERROR(__xludf.DUMMYFUNCTION("INDEX(FILTER('Công T5'!$B$8:$C$89,'Công T5'!$C$8:$C$89=C230),1,1)"),"")</f>
        <v/>
      </c>
      <c r="G230" s="138" t="str">
        <f>IFERROR(__xludf.DUMMYFUNCTION("IFERROR(INDEX(FILTER('Vân tay'!$A$5:$O270,'Vân tay'!$C$5:$C270=F230,'Vân tay'!$B$5:$B270=D230),1,10),"""")"),"")</f>
        <v/>
      </c>
      <c r="H230" s="138" t="str">
        <f>IFERROR(__xludf.DUMMYFUNCTION("IFERROR(INDEX(FILTER('Vân tay'!$A$5:$O270,'Vân tay'!$C$5:$C270=F230,'Vân tay'!$B$5:$B270=D230),1,11),"""")"),"")</f>
        <v/>
      </c>
      <c r="I230" s="138" t="str">
        <f>IFERROR(__xludf.DUMMYFUNCTION("IFERROR(INDEX(FILTER('Vân tay'!$A$5:$O270,'Vân tay'!$C$5:$C270=F230,'Vân tay'!$B$5:$B270=D230),1,14),"""")"),"")</f>
        <v/>
      </c>
      <c r="J230" s="138" t="str">
        <f>IFERROR(__xludf.DUMMYFUNCTION("IFERROR(INDEX(FILTER('Vân tay'!$A$5:$O270,'Vân tay'!$C$5:$C270=F230,'Vân tay'!$B$5:$B270=D230),1,15),"""")"),"")</f>
        <v/>
      </c>
      <c r="K230" s="196" t="str">
        <f t="shared" si="1"/>
        <v/>
      </c>
      <c r="L230" s="196" t="str">
        <f t="shared" si="2"/>
        <v/>
      </c>
      <c r="M230" s="197" t="str">
        <f t="shared" si="9"/>
        <v/>
      </c>
      <c r="N230" s="198" t="str">
        <f t="shared" si="3"/>
        <v/>
      </c>
      <c r="O230" s="198" t="str">
        <f t="shared" si="10"/>
        <v/>
      </c>
      <c r="P230" s="198"/>
      <c r="Q230" s="198">
        <f t="shared" si="4"/>
        <v>0</v>
      </c>
      <c r="R230" s="198">
        <f t="shared" si="5"/>
        <v>0</v>
      </c>
      <c r="S230" s="199">
        <f t="shared" si="6"/>
        <v>0</v>
      </c>
      <c r="T230" s="198">
        <f t="shared" si="7"/>
        <v>0</v>
      </c>
      <c r="U230" s="198"/>
      <c r="V230" s="198"/>
      <c r="W230" s="198">
        <f t="shared" si="8"/>
        <v>0</v>
      </c>
      <c r="X230" s="200"/>
    </row>
    <row r="231">
      <c r="A231" s="135"/>
      <c r="B231" s="135"/>
      <c r="C231" s="135"/>
      <c r="D231" s="195"/>
      <c r="E231" s="135" t="str">
        <f>IFERROR(VLOOKUP(C231,'Công T5'!$C$7:$F$89,4,0),"")</f>
        <v/>
      </c>
      <c r="F231" s="137" t="str">
        <f>IFERROR(__xludf.DUMMYFUNCTION("INDEX(FILTER('Công T5'!$B$8:$C$89,'Công T5'!$C$8:$C$89=C231),1,1)"),"")</f>
        <v/>
      </c>
      <c r="G231" s="138" t="str">
        <f>IFERROR(__xludf.DUMMYFUNCTION("IFERROR(INDEX(FILTER('Vân tay'!$A$5:$O270,'Vân tay'!$C$5:$C270=F231,'Vân tay'!$B$5:$B270=D231),1,10),"""")"),"")</f>
        <v/>
      </c>
      <c r="H231" s="138" t="str">
        <f>IFERROR(__xludf.DUMMYFUNCTION("IFERROR(INDEX(FILTER('Vân tay'!$A$5:$O270,'Vân tay'!$C$5:$C270=F231,'Vân tay'!$B$5:$B270=D231),1,11),"""")"),"")</f>
        <v/>
      </c>
      <c r="I231" s="138" t="str">
        <f>IFERROR(__xludf.DUMMYFUNCTION("IFERROR(INDEX(FILTER('Vân tay'!$A$5:$O270,'Vân tay'!$C$5:$C270=F231,'Vân tay'!$B$5:$B270=D231),1,14),"""")"),"")</f>
        <v/>
      </c>
      <c r="J231" s="138" t="str">
        <f>IFERROR(__xludf.DUMMYFUNCTION("IFERROR(INDEX(FILTER('Vân tay'!$A$5:$O270,'Vân tay'!$C$5:$C270=F231,'Vân tay'!$B$5:$B270=D231),1,15),"""")"),"")</f>
        <v/>
      </c>
      <c r="K231" s="196" t="str">
        <f t="shared" si="1"/>
        <v/>
      </c>
      <c r="L231" s="196" t="str">
        <f t="shared" si="2"/>
        <v/>
      </c>
      <c r="M231" s="197" t="str">
        <f t="shared" si="9"/>
        <v/>
      </c>
      <c r="N231" s="198" t="str">
        <f t="shared" si="3"/>
        <v/>
      </c>
      <c r="O231" s="198" t="str">
        <f t="shared" si="10"/>
        <v/>
      </c>
      <c r="P231" s="198"/>
      <c r="Q231" s="198">
        <f t="shared" si="4"/>
        <v>0</v>
      </c>
      <c r="R231" s="198">
        <f t="shared" si="5"/>
        <v>0</v>
      </c>
      <c r="S231" s="199">
        <f t="shared" si="6"/>
        <v>0</v>
      </c>
      <c r="T231" s="198">
        <f t="shared" si="7"/>
        <v>0</v>
      </c>
      <c r="U231" s="198"/>
      <c r="V231" s="198"/>
      <c r="W231" s="198">
        <f t="shared" si="8"/>
        <v>0</v>
      </c>
      <c r="X231" s="200"/>
    </row>
    <row r="232">
      <c r="A232" s="135"/>
      <c r="B232" s="135"/>
      <c r="C232" s="135"/>
      <c r="D232" s="195"/>
      <c r="E232" s="135" t="str">
        <f>IFERROR(VLOOKUP(C232,'Công T5'!$C$7:$F$89,4,0),"")</f>
        <v/>
      </c>
      <c r="F232" s="137" t="str">
        <f>IFERROR(__xludf.DUMMYFUNCTION("INDEX(FILTER('Công T5'!$B$8:$C$89,'Công T5'!$C$8:$C$89=C232),1,1)"),"")</f>
        <v/>
      </c>
      <c r="G232" s="138" t="str">
        <f>IFERROR(__xludf.DUMMYFUNCTION("IFERROR(INDEX(FILTER('Vân tay'!$A$5:$O270,'Vân tay'!$C$5:$C270=F232,'Vân tay'!$B$5:$B270=D232),1,10),"""")"),"")</f>
        <v/>
      </c>
      <c r="H232" s="138" t="str">
        <f>IFERROR(__xludf.DUMMYFUNCTION("IFERROR(INDEX(FILTER('Vân tay'!$A$5:$O270,'Vân tay'!$C$5:$C270=F232,'Vân tay'!$B$5:$B270=D232),1,11),"""")"),"")</f>
        <v/>
      </c>
      <c r="I232" s="138" t="str">
        <f>IFERROR(__xludf.DUMMYFUNCTION("IFERROR(INDEX(FILTER('Vân tay'!$A$5:$O270,'Vân tay'!$C$5:$C270=F232,'Vân tay'!$B$5:$B270=D232),1,14),"""")"),"")</f>
        <v/>
      </c>
      <c r="J232" s="138" t="str">
        <f>IFERROR(__xludf.DUMMYFUNCTION("IFERROR(INDEX(FILTER('Vân tay'!$A$5:$O270,'Vân tay'!$C$5:$C270=F232,'Vân tay'!$B$5:$B270=D232),1,15),"""")"),"")</f>
        <v/>
      </c>
      <c r="K232" s="196" t="str">
        <f t="shared" si="1"/>
        <v/>
      </c>
      <c r="L232" s="196" t="str">
        <f t="shared" si="2"/>
        <v/>
      </c>
      <c r="M232" s="197" t="str">
        <f t="shared" si="9"/>
        <v/>
      </c>
      <c r="N232" s="198" t="str">
        <f t="shared" si="3"/>
        <v/>
      </c>
      <c r="O232" s="198" t="str">
        <f t="shared" si="10"/>
        <v/>
      </c>
      <c r="P232" s="198"/>
      <c r="Q232" s="198">
        <f t="shared" si="4"/>
        <v>0</v>
      </c>
      <c r="R232" s="198">
        <f t="shared" si="5"/>
        <v>0</v>
      </c>
      <c r="S232" s="199">
        <f t="shared" si="6"/>
        <v>0</v>
      </c>
      <c r="T232" s="198">
        <f t="shared" si="7"/>
        <v>0</v>
      </c>
      <c r="U232" s="198"/>
      <c r="V232" s="198"/>
      <c r="W232" s="198">
        <f t="shared" si="8"/>
        <v>0</v>
      </c>
      <c r="X232" s="200"/>
    </row>
    <row r="233">
      <c r="A233" s="135"/>
      <c r="B233" s="135"/>
      <c r="C233" s="135"/>
      <c r="D233" s="195"/>
      <c r="E233" s="135" t="str">
        <f>IFERROR(VLOOKUP(C233,'Công T5'!$C$7:$F$89,4,0),"")</f>
        <v/>
      </c>
      <c r="F233" s="137" t="str">
        <f>IFERROR(__xludf.DUMMYFUNCTION("INDEX(FILTER('Công T5'!$B$8:$C$89,'Công T5'!$C$8:$C$89=C233),1,1)"),"")</f>
        <v/>
      </c>
      <c r="G233" s="138" t="str">
        <f>IFERROR(__xludf.DUMMYFUNCTION("IFERROR(INDEX(FILTER('Vân tay'!$A$5:$O270,'Vân tay'!$C$5:$C270=F233,'Vân tay'!$B$5:$B270=D233),1,10),"""")"),"")</f>
        <v/>
      </c>
      <c r="H233" s="138" t="str">
        <f>IFERROR(__xludf.DUMMYFUNCTION("IFERROR(INDEX(FILTER('Vân tay'!$A$5:$O270,'Vân tay'!$C$5:$C270=F233,'Vân tay'!$B$5:$B270=D233),1,11),"""")"),"")</f>
        <v/>
      </c>
      <c r="I233" s="138" t="str">
        <f>IFERROR(__xludf.DUMMYFUNCTION("IFERROR(INDEX(FILTER('Vân tay'!$A$5:$O270,'Vân tay'!$C$5:$C270=F233,'Vân tay'!$B$5:$B270=D233),1,14),"""")"),"")</f>
        <v/>
      </c>
      <c r="J233" s="138" t="str">
        <f>IFERROR(__xludf.DUMMYFUNCTION("IFERROR(INDEX(FILTER('Vân tay'!$A$5:$O270,'Vân tay'!$C$5:$C270=F233,'Vân tay'!$B$5:$B270=D233),1,15),"""")"),"")</f>
        <v/>
      </c>
      <c r="K233" s="196" t="str">
        <f t="shared" si="1"/>
        <v/>
      </c>
      <c r="L233" s="196" t="str">
        <f t="shared" si="2"/>
        <v/>
      </c>
      <c r="M233" s="197" t="str">
        <f t="shared" si="9"/>
        <v/>
      </c>
      <c r="N233" s="198" t="str">
        <f t="shared" si="3"/>
        <v/>
      </c>
      <c r="O233" s="198" t="str">
        <f t="shared" si="10"/>
        <v/>
      </c>
      <c r="P233" s="198"/>
      <c r="Q233" s="198">
        <f t="shared" si="4"/>
        <v>0</v>
      </c>
      <c r="R233" s="198">
        <f t="shared" si="5"/>
        <v>0</v>
      </c>
      <c r="S233" s="199">
        <f t="shared" si="6"/>
        <v>0</v>
      </c>
      <c r="T233" s="198">
        <f t="shared" si="7"/>
        <v>0</v>
      </c>
      <c r="U233" s="198"/>
      <c r="V233" s="198"/>
      <c r="W233" s="198">
        <f t="shared" si="8"/>
        <v>0</v>
      </c>
      <c r="X233" s="200"/>
    </row>
    <row r="234">
      <c r="A234" s="135"/>
      <c r="B234" s="135"/>
      <c r="C234" s="135"/>
      <c r="D234" s="195"/>
      <c r="E234" s="135" t="str">
        <f>IFERROR(VLOOKUP(C234,'Công T5'!$C$7:$F$89,4,0),"")</f>
        <v/>
      </c>
      <c r="F234" s="137" t="str">
        <f>IFERROR(__xludf.DUMMYFUNCTION("INDEX(FILTER('Công T5'!$B$8:$C$89,'Công T5'!$C$8:$C$89=C234),1,1)"),"")</f>
        <v/>
      </c>
      <c r="G234" s="138" t="str">
        <f>IFERROR(__xludf.DUMMYFUNCTION("IFERROR(INDEX(FILTER('Vân tay'!$A$5:$O270,'Vân tay'!$C$5:$C270=F234,'Vân tay'!$B$5:$B270=D234),1,10),"""")"),"")</f>
        <v/>
      </c>
      <c r="H234" s="138" t="str">
        <f>IFERROR(__xludf.DUMMYFUNCTION("IFERROR(INDEX(FILTER('Vân tay'!$A$5:$O270,'Vân tay'!$C$5:$C270=F234,'Vân tay'!$B$5:$B270=D234),1,11),"""")"),"")</f>
        <v/>
      </c>
      <c r="I234" s="138" t="str">
        <f>IFERROR(__xludf.DUMMYFUNCTION("IFERROR(INDEX(FILTER('Vân tay'!$A$5:$O270,'Vân tay'!$C$5:$C270=F234,'Vân tay'!$B$5:$B270=D234),1,14),"""")"),"")</f>
        <v/>
      </c>
      <c r="J234" s="138" t="str">
        <f>IFERROR(__xludf.DUMMYFUNCTION("IFERROR(INDEX(FILTER('Vân tay'!$A$5:$O270,'Vân tay'!$C$5:$C270=F234,'Vân tay'!$B$5:$B270=D234),1,15),"""")"),"")</f>
        <v/>
      </c>
      <c r="K234" s="196" t="str">
        <f t="shared" si="1"/>
        <v/>
      </c>
      <c r="L234" s="196" t="str">
        <f t="shared" si="2"/>
        <v/>
      </c>
      <c r="M234" s="197" t="str">
        <f t="shared" si="9"/>
        <v/>
      </c>
      <c r="N234" s="198" t="str">
        <f t="shared" si="3"/>
        <v/>
      </c>
      <c r="O234" s="198" t="str">
        <f t="shared" si="10"/>
        <v/>
      </c>
      <c r="P234" s="198"/>
      <c r="Q234" s="198">
        <f t="shared" si="4"/>
        <v>0</v>
      </c>
      <c r="R234" s="198">
        <f t="shared" si="5"/>
        <v>0</v>
      </c>
      <c r="S234" s="199">
        <f t="shared" si="6"/>
        <v>0</v>
      </c>
      <c r="T234" s="198">
        <f t="shared" si="7"/>
        <v>0</v>
      </c>
      <c r="U234" s="198"/>
      <c r="V234" s="198"/>
      <c r="W234" s="198">
        <f t="shared" si="8"/>
        <v>0</v>
      </c>
      <c r="X234" s="200"/>
    </row>
    <row r="235">
      <c r="A235" s="135"/>
      <c r="B235" s="135"/>
      <c r="C235" s="135"/>
      <c r="D235" s="195"/>
      <c r="E235" s="135" t="str">
        <f>IFERROR(VLOOKUP(C235,'Công T5'!$C$7:$F$89,4,0),"")</f>
        <v/>
      </c>
      <c r="F235" s="137" t="str">
        <f>IFERROR(__xludf.DUMMYFUNCTION("INDEX(FILTER('Công T5'!$B$8:$C$89,'Công T5'!$C$8:$C$89=C235),1,1)"),"")</f>
        <v/>
      </c>
      <c r="G235" s="138" t="str">
        <f>IFERROR(__xludf.DUMMYFUNCTION("IFERROR(INDEX(FILTER('Vân tay'!$A$5:$O270,'Vân tay'!$C$5:$C270=F235,'Vân tay'!$B$5:$B270=D235),1,10),"""")"),"")</f>
        <v/>
      </c>
      <c r="H235" s="138" t="str">
        <f>IFERROR(__xludf.DUMMYFUNCTION("IFERROR(INDEX(FILTER('Vân tay'!$A$5:$O270,'Vân tay'!$C$5:$C270=F235,'Vân tay'!$B$5:$B270=D235),1,11),"""")"),"")</f>
        <v/>
      </c>
      <c r="I235" s="138" t="str">
        <f>IFERROR(__xludf.DUMMYFUNCTION("IFERROR(INDEX(FILTER('Vân tay'!$A$5:$O270,'Vân tay'!$C$5:$C270=F235,'Vân tay'!$B$5:$B270=D235),1,14),"""")"),"")</f>
        <v/>
      </c>
      <c r="J235" s="138" t="str">
        <f>IFERROR(__xludf.DUMMYFUNCTION("IFERROR(INDEX(FILTER('Vân tay'!$A$5:$O270,'Vân tay'!$C$5:$C270=F235,'Vân tay'!$B$5:$B270=D235),1,15),"""")"),"")</f>
        <v/>
      </c>
      <c r="K235" s="196" t="str">
        <f t="shared" si="1"/>
        <v/>
      </c>
      <c r="L235" s="196" t="str">
        <f t="shared" si="2"/>
        <v/>
      </c>
      <c r="M235" s="197" t="str">
        <f t="shared" si="9"/>
        <v/>
      </c>
      <c r="N235" s="198" t="str">
        <f t="shared" si="3"/>
        <v/>
      </c>
      <c r="O235" s="198" t="str">
        <f t="shared" si="10"/>
        <v/>
      </c>
      <c r="P235" s="198"/>
      <c r="Q235" s="198">
        <f t="shared" si="4"/>
        <v>0</v>
      </c>
      <c r="R235" s="198">
        <f t="shared" si="5"/>
        <v>0</v>
      </c>
      <c r="S235" s="199">
        <f t="shared" si="6"/>
        <v>0</v>
      </c>
      <c r="T235" s="198">
        <f t="shared" si="7"/>
        <v>0</v>
      </c>
      <c r="U235" s="198"/>
      <c r="V235" s="198"/>
      <c r="W235" s="198">
        <f t="shared" si="8"/>
        <v>0</v>
      </c>
      <c r="X235" s="200"/>
    </row>
    <row r="236">
      <c r="A236" s="135"/>
      <c r="B236" s="135"/>
      <c r="C236" s="135"/>
      <c r="D236" s="195"/>
      <c r="E236" s="135" t="str">
        <f>IFERROR(VLOOKUP(C236,'Công T5'!$C$7:$F$89,4,0),"")</f>
        <v/>
      </c>
      <c r="F236" s="137" t="str">
        <f>IFERROR(__xludf.DUMMYFUNCTION("INDEX(FILTER('Công T5'!$B$8:$C$89,'Công T5'!$C$8:$C$89=C236),1,1)"),"")</f>
        <v/>
      </c>
      <c r="G236" s="138" t="str">
        <f>IFERROR(__xludf.DUMMYFUNCTION("IFERROR(INDEX(FILTER('Vân tay'!$A$5:$O270,'Vân tay'!$C$5:$C270=F236,'Vân tay'!$B$5:$B270=D236),1,10),"""")"),"")</f>
        <v/>
      </c>
      <c r="H236" s="138" t="str">
        <f>IFERROR(__xludf.DUMMYFUNCTION("IFERROR(INDEX(FILTER('Vân tay'!$A$5:$O270,'Vân tay'!$C$5:$C270=F236,'Vân tay'!$B$5:$B270=D236),1,11),"""")"),"")</f>
        <v/>
      </c>
      <c r="I236" s="138" t="str">
        <f>IFERROR(__xludf.DUMMYFUNCTION("IFERROR(INDEX(FILTER('Vân tay'!$A$5:$O270,'Vân tay'!$C$5:$C270=F236,'Vân tay'!$B$5:$B270=D236),1,14),"""")"),"")</f>
        <v/>
      </c>
      <c r="J236" s="138" t="str">
        <f>IFERROR(__xludf.DUMMYFUNCTION("IFERROR(INDEX(FILTER('Vân tay'!$A$5:$O270,'Vân tay'!$C$5:$C270=F236,'Vân tay'!$B$5:$B270=D236),1,15),"""")"),"")</f>
        <v/>
      </c>
      <c r="K236" s="196" t="str">
        <f t="shared" si="1"/>
        <v/>
      </c>
      <c r="L236" s="196" t="str">
        <f t="shared" si="2"/>
        <v/>
      </c>
      <c r="M236" s="197" t="str">
        <f t="shared" si="9"/>
        <v/>
      </c>
      <c r="N236" s="198" t="str">
        <f t="shared" si="3"/>
        <v/>
      </c>
      <c r="O236" s="198" t="str">
        <f t="shared" si="10"/>
        <v/>
      </c>
      <c r="P236" s="198"/>
      <c r="Q236" s="198">
        <f t="shared" si="4"/>
        <v>0</v>
      </c>
      <c r="R236" s="198">
        <f t="shared" si="5"/>
        <v>0</v>
      </c>
      <c r="S236" s="199">
        <f t="shared" si="6"/>
        <v>0</v>
      </c>
      <c r="T236" s="198">
        <f t="shared" si="7"/>
        <v>0</v>
      </c>
      <c r="U236" s="198"/>
      <c r="V236" s="198"/>
      <c r="W236" s="198">
        <f t="shared" si="8"/>
        <v>0</v>
      </c>
      <c r="X236" s="200"/>
    </row>
    <row r="237">
      <c r="A237" s="135"/>
      <c r="B237" s="135"/>
      <c r="C237" s="135"/>
      <c r="D237" s="208"/>
      <c r="E237" s="135" t="str">
        <f>IFERROR(VLOOKUP(C237,'Công T5'!$C$7:$F$89,4,0),"")</f>
        <v/>
      </c>
      <c r="F237" s="137" t="str">
        <f>IFERROR(__xludf.DUMMYFUNCTION("INDEX(FILTER('Công T5'!$B$8:$C$89,'Công T5'!$C$8:$C$89=C237),1,1)"),"")</f>
        <v/>
      </c>
      <c r="G237" s="138" t="str">
        <f>IFERROR(__xludf.DUMMYFUNCTION("IFERROR(INDEX(FILTER('Vân tay'!$A$5:$O270,'Vân tay'!$C$5:$C270=F237,'Vân tay'!$B$5:$B270=D237),1,10),"""")"),"")</f>
        <v/>
      </c>
      <c r="H237" s="138" t="str">
        <f>IFERROR(__xludf.DUMMYFUNCTION("IFERROR(INDEX(FILTER('Vân tay'!$A$5:$O270,'Vân tay'!$C$5:$C270=F237,'Vân tay'!$B$5:$B270=D237),1,11),"""")"),"")</f>
        <v/>
      </c>
      <c r="I237" s="138" t="str">
        <f>IFERROR(__xludf.DUMMYFUNCTION("IFERROR(INDEX(FILTER('Vân tay'!$A$5:$O270,'Vân tay'!$C$5:$C270=F237,'Vân tay'!$B$5:$B270=D237),1,14),"""")"),"")</f>
        <v/>
      </c>
      <c r="J237" s="138" t="str">
        <f>IFERROR(__xludf.DUMMYFUNCTION("IFERROR(INDEX(FILTER('Vân tay'!$A$5:$O270,'Vân tay'!$C$5:$C270=F237,'Vân tay'!$B$5:$B270=D237),1,15),"""")"),"")</f>
        <v/>
      </c>
      <c r="K237" s="196" t="str">
        <f t="shared" si="1"/>
        <v/>
      </c>
      <c r="L237" s="196" t="str">
        <f t="shared" si="2"/>
        <v/>
      </c>
      <c r="M237" s="197" t="str">
        <f t="shared" si="9"/>
        <v/>
      </c>
      <c r="N237" s="198" t="str">
        <f t="shared" si="3"/>
        <v/>
      </c>
      <c r="O237" s="198" t="str">
        <f t="shared" si="10"/>
        <v/>
      </c>
      <c r="P237" s="198"/>
      <c r="Q237" s="198">
        <f t="shared" si="4"/>
        <v>0</v>
      </c>
      <c r="R237" s="198">
        <f t="shared" si="5"/>
        <v>0</v>
      </c>
      <c r="S237" s="199">
        <f t="shared" si="6"/>
        <v>0</v>
      </c>
      <c r="T237" s="198">
        <f t="shared" si="7"/>
        <v>0</v>
      </c>
      <c r="U237" s="198"/>
      <c r="V237" s="198"/>
      <c r="W237" s="198">
        <f t="shared" si="8"/>
        <v>0</v>
      </c>
      <c r="X237" s="200"/>
    </row>
    <row r="238">
      <c r="A238" s="135"/>
      <c r="B238" s="135"/>
      <c r="C238" s="135"/>
      <c r="D238" s="195"/>
      <c r="E238" s="135" t="str">
        <f>IFERROR(VLOOKUP(C238,'Công T5'!$C$7:$F$89,4,0),"")</f>
        <v/>
      </c>
      <c r="F238" s="137" t="str">
        <f>IFERROR(__xludf.DUMMYFUNCTION("INDEX(FILTER('Công T5'!$B$8:$C$89,'Công T5'!$C$8:$C$89=C238),1,1)"),"")</f>
        <v/>
      </c>
      <c r="G238" s="138" t="str">
        <f>IFERROR(__xludf.DUMMYFUNCTION("IFERROR(INDEX(FILTER('Vân tay'!$A$5:$O270,'Vân tay'!$C$5:$C270=F238,'Vân tay'!$B$5:$B270=D238),1,10),"""")"),"")</f>
        <v/>
      </c>
      <c r="H238" s="138" t="str">
        <f>IFERROR(__xludf.DUMMYFUNCTION("IFERROR(INDEX(FILTER('Vân tay'!$A$5:$O270,'Vân tay'!$C$5:$C270=F238,'Vân tay'!$B$5:$B270=D238),1,11),"""")"),"")</f>
        <v/>
      </c>
      <c r="I238" s="138" t="str">
        <f>IFERROR(__xludf.DUMMYFUNCTION("IFERROR(INDEX(FILTER('Vân tay'!$A$5:$O270,'Vân tay'!$C$5:$C270=F238,'Vân tay'!$B$5:$B270=D238),1,14),"""")"),"")</f>
        <v/>
      </c>
      <c r="J238" s="138" t="str">
        <f>IFERROR(__xludf.DUMMYFUNCTION("IFERROR(INDEX(FILTER('Vân tay'!$A$5:$O270,'Vân tay'!$C$5:$C270=F238,'Vân tay'!$B$5:$B270=D238),1,15),"""")"),"")</f>
        <v/>
      </c>
      <c r="K238" s="196" t="str">
        <f t="shared" si="1"/>
        <v/>
      </c>
      <c r="L238" s="196" t="str">
        <f t="shared" si="2"/>
        <v/>
      </c>
      <c r="M238" s="197" t="str">
        <f t="shared" si="9"/>
        <v/>
      </c>
      <c r="N238" s="198" t="str">
        <f t="shared" si="3"/>
        <v/>
      </c>
      <c r="O238" s="198" t="str">
        <f t="shared" si="10"/>
        <v/>
      </c>
      <c r="P238" s="198"/>
      <c r="Q238" s="198">
        <f t="shared" si="4"/>
        <v>0</v>
      </c>
      <c r="R238" s="198">
        <f t="shared" si="5"/>
        <v>0</v>
      </c>
      <c r="S238" s="199">
        <f t="shared" si="6"/>
        <v>0</v>
      </c>
      <c r="T238" s="198">
        <f t="shared" si="7"/>
        <v>0</v>
      </c>
      <c r="U238" s="198"/>
      <c r="V238" s="198"/>
      <c r="W238" s="198">
        <f t="shared" si="8"/>
        <v>0</v>
      </c>
      <c r="X238" s="200"/>
    </row>
    <row r="239">
      <c r="A239" s="135"/>
      <c r="B239" s="135"/>
      <c r="C239" s="135"/>
      <c r="D239" s="195"/>
      <c r="E239" s="135" t="str">
        <f>IFERROR(VLOOKUP(C239,'Công T5'!$C$7:$F$89,4,0),"")</f>
        <v/>
      </c>
      <c r="F239" s="137" t="str">
        <f>IFERROR(__xludf.DUMMYFUNCTION("INDEX(FILTER('Công T5'!$B$8:$C$89,'Công T5'!$C$8:$C$89=C239),1,1)"),"")</f>
        <v/>
      </c>
      <c r="G239" s="138" t="str">
        <f>IFERROR(__xludf.DUMMYFUNCTION("IFERROR(INDEX(FILTER('Vân tay'!$A$5:$O270,'Vân tay'!$C$5:$C270=F239,'Vân tay'!$B$5:$B270=D239),1,10),"""")"),"")</f>
        <v/>
      </c>
      <c r="H239" s="138" t="str">
        <f>IFERROR(__xludf.DUMMYFUNCTION("IFERROR(INDEX(FILTER('Vân tay'!$A$5:$O270,'Vân tay'!$C$5:$C270=F239,'Vân tay'!$B$5:$B270=D239),1,11),"""")"),"")</f>
        <v/>
      </c>
      <c r="I239" s="138" t="str">
        <f>IFERROR(__xludf.DUMMYFUNCTION("IFERROR(INDEX(FILTER('Vân tay'!$A$5:$O270,'Vân tay'!$C$5:$C270=F239,'Vân tay'!$B$5:$B270=D239),1,14),"""")"),"")</f>
        <v/>
      </c>
      <c r="J239" s="138" t="str">
        <f>IFERROR(__xludf.DUMMYFUNCTION("IFERROR(INDEX(FILTER('Vân tay'!$A$5:$O270,'Vân tay'!$C$5:$C270=F239,'Vân tay'!$B$5:$B270=D239),1,15),"""")"),"")</f>
        <v/>
      </c>
      <c r="K239" s="196" t="str">
        <f t="shared" si="1"/>
        <v/>
      </c>
      <c r="L239" s="196" t="str">
        <f t="shared" si="2"/>
        <v/>
      </c>
      <c r="M239" s="197" t="str">
        <f t="shared" si="9"/>
        <v/>
      </c>
      <c r="N239" s="198" t="str">
        <f t="shared" si="3"/>
        <v/>
      </c>
      <c r="O239" s="198" t="str">
        <f t="shared" si="10"/>
        <v/>
      </c>
      <c r="P239" s="198"/>
      <c r="Q239" s="198">
        <f t="shared" si="4"/>
        <v>0</v>
      </c>
      <c r="R239" s="198">
        <f t="shared" si="5"/>
        <v>0</v>
      </c>
      <c r="S239" s="199">
        <f t="shared" si="6"/>
        <v>0</v>
      </c>
      <c r="T239" s="198">
        <f t="shared" si="7"/>
        <v>0</v>
      </c>
      <c r="U239" s="198"/>
      <c r="V239" s="198"/>
      <c r="W239" s="198">
        <f t="shared" si="8"/>
        <v>0</v>
      </c>
      <c r="X239" s="200"/>
    </row>
    <row r="240">
      <c r="A240" s="135"/>
      <c r="B240" s="135"/>
      <c r="C240" s="135"/>
      <c r="D240" s="195"/>
      <c r="E240" s="135" t="str">
        <f>IFERROR(VLOOKUP(C240,'Công T5'!$C$7:$F$89,4,0),"")</f>
        <v/>
      </c>
      <c r="F240" s="137" t="str">
        <f>IFERROR(__xludf.DUMMYFUNCTION("INDEX(FILTER('Công T5'!$B$8:$C$89,'Công T5'!$C$8:$C$89=C240),1,1)"),"")</f>
        <v/>
      </c>
      <c r="G240" s="138" t="str">
        <f>IFERROR(__xludf.DUMMYFUNCTION("IFERROR(INDEX(FILTER('Vân tay'!$A$5:$O270,'Vân tay'!$C$5:$C270=F240,'Vân tay'!$B$5:$B270=D240),1,10),"""")"),"")</f>
        <v/>
      </c>
      <c r="H240" s="138" t="str">
        <f>IFERROR(__xludf.DUMMYFUNCTION("IFERROR(INDEX(FILTER('Vân tay'!$A$5:$O270,'Vân tay'!$C$5:$C270=F240,'Vân tay'!$B$5:$B270=D240),1,11),"""")"),"")</f>
        <v/>
      </c>
      <c r="I240" s="138" t="str">
        <f>IFERROR(__xludf.DUMMYFUNCTION("IFERROR(INDEX(FILTER('Vân tay'!$A$5:$O270,'Vân tay'!$C$5:$C270=F240,'Vân tay'!$B$5:$B270=D240),1,14),"""")"),"")</f>
        <v/>
      </c>
      <c r="J240" s="138" t="str">
        <f>IFERROR(__xludf.DUMMYFUNCTION("IFERROR(INDEX(FILTER('Vân tay'!$A$5:$O270,'Vân tay'!$C$5:$C270=F240,'Vân tay'!$B$5:$B270=D240),1,15),"""")"),"")</f>
        <v/>
      </c>
      <c r="K240" s="196" t="str">
        <f t="shared" si="1"/>
        <v/>
      </c>
      <c r="L240" s="196" t="str">
        <f t="shared" si="2"/>
        <v/>
      </c>
      <c r="M240" s="197" t="str">
        <f t="shared" si="9"/>
        <v/>
      </c>
      <c r="N240" s="198" t="str">
        <f t="shared" si="3"/>
        <v/>
      </c>
      <c r="O240" s="198" t="str">
        <f t="shared" si="10"/>
        <v/>
      </c>
      <c r="P240" s="198"/>
      <c r="Q240" s="198">
        <f t="shared" si="4"/>
        <v>0</v>
      </c>
      <c r="R240" s="198">
        <f t="shared" si="5"/>
        <v>0</v>
      </c>
      <c r="S240" s="199">
        <f t="shared" si="6"/>
        <v>0</v>
      </c>
      <c r="T240" s="198">
        <f t="shared" si="7"/>
        <v>0</v>
      </c>
      <c r="U240" s="198"/>
      <c r="V240" s="198"/>
      <c r="W240" s="198">
        <f t="shared" si="8"/>
        <v>0</v>
      </c>
      <c r="X240" s="200"/>
    </row>
    <row r="241">
      <c r="A241" s="135"/>
      <c r="B241" s="135"/>
      <c r="C241" s="135"/>
      <c r="D241" s="195"/>
      <c r="E241" s="135" t="str">
        <f>IFERROR(VLOOKUP(C241,'Công T5'!$C$7:$F$89,4,0),"")</f>
        <v/>
      </c>
      <c r="F241" s="137" t="str">
        <f>IFERROR(__xludf.DUMMYFUNCTION("INDEX(FILTER('Công T5'!$B$8:$C$89,'Công T5'!$C$8:$C$89=C241),1,1)"),"")</f>
        <v/>
      </c>
      <c r="G241" s="138" t="str">
        <f>IFERROR(__xludf.DUMMYFUNCTION("IFERROR(INDEX(FILTER('Vân tay'!$A$5:$O270,'Vân tay'!$C$5:$C270=F241,'Vân tay'!$B$5:$B270=D241),1,10),"""")"),"")</f>
        <v/>
      </c>
      <c r="H241" s="138" t="str">
        <f>IFERROR(__xludf.DUMMYFUNCTION("IFERROR(INDEX(FILTER('Vân tay'!$A$5:$O270,'Vân tay'!$C$5:$C270=F241,'Vân tay'!$B$5:$B270=D241),1,11),"""")"),"")</f>
        <v/>
      </c>
      <c r="I241" s="138" t="str">
        <f>IFERROR(__xludf.DUMMYFUNCTION("IFERROR(INDEX(FILTER('Vân tay'!$A$5:$O270,'Vân tay'!$C$5:$C270=F241,'Vân tay'!$B$5:$B270=D241),1,14),"""")"),"")</f>
        <v/>
      </c>
      <c r="J241" s="138" t="str">
        <f>IFERROR(__xludf.DUMMYFUNCTION("IFERROR(INDEX(FILTER('Vân tay'!$A$5:$O270,'Vân tay'!$C$5:$C270=F241,'Vân tay'!$B$5:$B270=D241),1,15),"""")"),"")</f>
        <v/>
      </c>
      <c r="K241" s="196" t="str">
        <f t="shared" si="1"/>
        <v/>
      </c>
      <c r="L241" s="196" t="str">
        <f t="shared" si="2"/>
        <v/>
      </c>
      <c r="M241" s="197" t="str">
        <f t="shared" si="9"/>
        <v/>
      </c>
      <c r="N241" s="198" t="str">
        <f t="shared" si="3"/>
        <v/>
      </c>
      <c r="O241" s="198" t="str">
        <f t="shared" si="10"/>
        <v/>
      </c>
      <c r="P241" s="198"/>
      <c r="Q241" s="198">
        <f t="shared" si="4"/>
        <v>0</v>
      </c>
      <c r="R241" s="198">
        <f t="shared" si="5"/>
        <v>0</v>
      </c>
      <c r="S241" s="199">
        <f t="shared" si="6"/>
        <v>0</v>
      </c>
      <c r="T241" s="198">
        <f t="shared" si="7"/>
        <v>0</v>
      </c>
      <c r="U241" s="198"/>
      <c r="V241" s="198"/>
      <c r="W241" s="198">
        <f t="shared" si="8"/>
        <v>0</v>
      </c>
      <c r="X241" s="200"/>
    </row>
    <row r="242">
      <c r="A242" s="135"/>
      <c r="B242" s="135"/>
      <c r="C242" s="135"/>
      <c r="D242" s="195"/>
      <c r="E242" s="135" t="str">
        <f>IFERROR(VLOOKUP(C242,'Công T5'!$C$7:$F$89,4,0),"")</f>
        <v/>
      </c>
      <c r="F242" s="137" t="str">
        <f>IFERROR(__xludf.DUMMYFUNCTION("INDEX(FILTER('Công T5'!$B$8:$C$89,'Công T5'!$C$8:$C$89=C242),1,1)"),"")</f>
        <v/>
      </c>
      <c r="G242" s="138" t="str">
        <f>IFERROR(__xludf.DUMMYFUNCTION("IFERROR(INDEX(FILTER('Vân tay'!$A$5:$O270,'Vân tay'!$C$5:$C270=F242,'Vân tay'!$B$5:$B270=D242),1,10),"""")"),"")</f>
        <v/>
      </c>
      <c r="H242" s="138" t="str">
        <f>IFERROR(__xludf.DUMMYFUNCTION("IFERROR(INDEX(FILTER('Vân tay'!$A$5:$O270,'Vân tay'!$C$5:$C270=F242,'Vân tay'!$B$5:$B270=D242),1,11),"""")"),"")</f>
        <v/>
      </c>
      <c r="I242" s="138" t="str">
        <f>IFERROR(__xludf.DUMMYFUNCTION("IFERROR(INDEX(FILTER('Vân tay'!$A$5:$O270,'Vân tay'!$C$5:$C270=F242,'Vân tay'!$B$5:$B270=D242),1,14),"""")"),"")</f>
        <v/>
      </c>
      <c r="J242" s="138" t="str">
        <f>IFERROR(__xludf.DUMMYFUNCTION("IFERROR(INDEX(FILTER('Vân tay'!$A$5:$O270,'Vân tay'!$C$5:$C270=F242,'Vân tay'!$B$5:$B270=D242),1,15),"""")"),"")</f>
        <v/>
      </c>
      <c r="K242" s="196" t="str">
        <f t="shared" si="1"/>
        <v/>
      </c>
      <c r="L242" s="196" t="str">
        <f t="shared" si="2"/>
        <v/>
      </c>
      <c r="M242" s="197" t="str">
        <f t="shared" si="9"/>
        <v/>
      </c>
      <c r="N242" s="198" t="str">
        <f t="shared" si="3"/>
        <v/>
      </c>
      <c r="O242" s="198" t="str">
        <f t="shared" si="10"/>
        <v/>
      </c>
      <c r="P242" s="198"/>
      <c r="Q242" s="198">
        <f t="shared" si="4"/>
        <v>0</v>
      </c>
      <c r="R242" s="198">
        <f t="shared" si="5"/>
        <v>0</v>
      </c>
      <c r="S242" s="199">
        <f t="shared" si="6"/>
        <v>0</v>
      </c>
      <c r="T242" s="198">
        <f t="shared" si="7"/>
        <v>0</v>
      </c>
      <c r="U242" s="198"/>
      <c r="V242" s="198"/>
      <c r="W242" s="198">
        <f t="shared" si="8"/>
        <v>0</v>
      </c>
      <c r="X242" s="200"/>
    </row>
    <row r="243">
      <c r="A243" s="135"/>
      <c r="B243" s="135"/>
      <c r="C243" s="135"/>
      <c r="D243" s="195"/>
      <c r="E243" s="135" t="str">
        <f>IFERROR(VLOOKUP(C243,'Công T5'!$C$7:$F$89,4,0),"")</f>
        <v/>
      </c>
      <c r="F243" s="137" t="str">
        <f>IFERROR(__xludf.DUMMYFUNCTION("INDEX(FILTER('Công T5'!$B$8:$C$89,'Công T5'!$C$8:$C$89=C243),1,1)"),"")</f>
        <v/>
      </c>
      <c r="G243" s="138" t="str">
        <f>IFERROR(__xludf.DUMMYFUNCTION("IFERROR(INDEX(FILTER('Vân tay'!$A$5:$O270,'Vân tay'!$C$5:$C270=F243,'Vân tay'!$B$5:$B270=D243),1,10),"""")"),"")</f>
        <v/>
      </c>
      <c r="H243" s="138" t="str">
        <f>IFERROR(__xludf.DUMMYFUNCTION("IFERROR(INDEX(FILTER('Vân tay'!$A$5:$O270,'Vân tay'!$C$5:$C270=F243,'Vân tay'!$B$5:$B270=D243),1,11),"""")"),"")</f>
        <v/>
      </c>
      <c r="I243" s="138" t="str">
        <f>IFERROR(__xludf.DUMMYFUNCTION("IFERROR(INDEX(FILTER('Vân tay'!$A$5:$O270,'Vân tay'!$C$5:$C270=F243,'Vân tay'!$B$5:$B270=D243),1,14),"""")"),"")</f>
        <v/>
      </c>
      <c r="J243" s="138" t="str">
        <f>IFERROR(__xludf.DUMMYFUNCTION("IFERROR(INDEX(FILTER('Vân tay'!$A$5:$O270,'Vân tay'!$C$5:$C270=F243,'Vân tay'!$B$5:$B270=D243),1,15),"""")"),"")</f>
        <v/>
      </c>
      <c r="K243" s="196" t="str">
        <f t="shared" si="1"/>
        <v/>
      </c>
      <c r="L243" s="196" t="str">
        <f t="shared" si="2"/>
        <v/>
      </c>
      <c r="M243" s="197" t="str">
        <f t="shared" si="9"/>
        <v/>
      </c>
      <c r="N243" s="198" t="str">
        <f t="shared" si="3"/>
        <v/>
      </c>
      <c r="O243" s="198" t="str">
        <f t="shared" si="10"/>
        <v/>
      </c>
      <c r="P243" s="198"/>
      <c r="Q243" s="198">
        <f t="shared" si="4"/>
        <v>0</v>
      </c>
      <c r="R243" s="198">
        <f t="shared" si="5"/>
        <v>0</v>
      </c>
      <c r="S243" s="199">
        <f t="shared" si="6"/>
        <v>0</v>
      </c>
      <c r="T243" s="198">
        <f t="shared" si="7"/>
        <v>0</v>
      </c>
      <c r="U243" s="198"/>
      <c r="V243" s="198"/>
      <c r="W243" s="198">
        <f t="shared" si="8"/>
        <v>0</v>
      </c>
      <c r="X243" s="200"/>
    </row>
    <row r="244">
      <c r="A244" s="135"/>
      <c r="B244" s="135"/>
      <c r="C244" s="135"/>
      <c r="D244" s="195"/>
      <c r="E244" s="135" t="str">
        <f>IFERROR(VLOOKUP(C244,'Công T5'!$C$7:$F$89,4,0),"")</f>
        <v/>
      </c>
      <c r="F244" s="137" t="str">
        <f>IFERROR(__xludf.DUMMYFUNCTION("INDEX(FILTER('Công T5'!$B$8:$C$89,'Công T5'!$C$8:$C$89=C244),1,1)"),"")</f>
        <v/>
      </c>
      <c r="G244" s="138" t="str">
        <f>IFERROR(__xludf.DUMMYFUNCTION("IFERROR(INDEX(FILTER('Vân tay'!$A$5:$O270,'Vân tay'!$C$5:$C270=F244,'Vân tay'!$B$5:$B270=D244),1,10),"""")"),"")</f>
        <v/>
      </c>
      <c r="H244" s="138" t="str">
        <f>IFERROR(__xludf.DUMMYFUNCTION("IFERROR(INDEX(FILTER('Vân tay'!$A$5:$O270,'Vân tay'!$C$5:$C270=F244,'Vân tay'!$B$5:$B270=D244),1,11),"""")"),"")</f>
        <v/>
      </c>
      <c r="I244" s="138" t="str">
        <f>IFERROR(__xludf.DUMMYFUNCTION("IFERROR(INDEX(FILTER('Vân tay'!$A$5:$O270,'Vân tay'!$C$5:$C270=F244,'Vân tay'!$B$5:$B270=D244),1,14),"""")"),"")</f>
        <v/>
      </c>
      <c r="J244" s="138" t="str">
        <f>IFERROR(__xludf.DUMMYFUNCTION("IFERROR(INDEX(FILTER('Vân tay'!$A$5:$O270,'Vân tay'!$C$5:$C270=F244,'Vân tay'!$B$5:$B270=D244),1,15),"""")"),"")</f>
        <v/>
      </c>
      <c r="K244" s="196" t="str">
        <f t="shared" si="1"/>
        <v/>
      </c>
      <c r="L244" s="196" t="str">
        <f t="shared" si="2"/>
        <v/>
      </c>
      <c r="M244" s="197" t="str">
        <f t="shared" si="9"/>
        <v/>
      </c>
      <c r="N244" s="198" t="str">
        <f t="shared" si="3"/>
        <v/>
      </c>
      <c r="O244" s="198" t="str">
        <f t="shared" si="10"/>
        <v/>
      </c>
      <c r="P244" s="198"/>
      <c r="Q244" s="198">
        <f t="shared" si="4"/>
        <v>0</v>
      </c>
      <c r="R244" s="198">
        <f t="shared" si="5"/>
        <v>0</v>
      </c>
      <c r="S244" s="199">
        <f t="shared" si="6"/>
        <v>0</v>
      </c>
      <c r="T244" s="198">
        <f t="shared" si="7"/>
        <v>0</v>
      </c>
      <c r="U244" s="198"/>
      <c r="V244" s="198"/>
      <c r="W244" s="198">
        <f t="shared" si="8"/>
        <v>0</v>
      </c>
      <c r="X244" s="200"/>
    </row>
    <row r="245">
      <c r="A245" s="135"/>
      <c r="B245" s="135"/>
      <c r="C245" s="135"/>
      <c r="D245" s="195"/>
      <c r="E245" s="135" t="str">
        <f>IFERROR(VLOOKUP(C245,'Công T5'!$C$7:$F$89,4,0),"")</f>
        <v/>
      </c>
      <c r="F245" s="137" t="str">
        <f>IFERROR(__xludf.DUMMYFUNCTION("INDEX(FILTER('Công T5'!$B$8:$C$89,'Công T5'!$C$8:$C$89=C245),1,1)"),"")</f>
        <v/>
      </c>
      <c r="G245" s="138" t="str">
        <f>IFERROR(__xludf.DUMMYFUNCTION("IFERROR(INDEX(FILTER('Vân tay'!$A$5:$O270,'Vân tay'!$C$5:$C270=F245,'Vân tay'!$B$5:$B270=D245),1,10),"""")"),"")</f>
        <v/>
      </c>
      <c r="H245" s="138" t="str">
        <f>IFERROR(__xludf.DUMMYFUNCTION("IFERROR(INDEX(FILTER('Vân tay'!$A$5:$O270,'Vân tay'!$C$5:$C270=F245,'Vân tay'!$B$5:$B270=D245),1,11),"""")"),"")</f>
        <v/>
      </c>
      <c r="I245" s="138" t="str">
        <f>IFERROR(__xludf.DUMMYFUNCTION("IFERROR(INDEX(FILTER('Vân tay'!$A$5:$O270,'Vân tay'!$C$5:$C270=F245,'Vân tay'!$B$5:$B270=D245),1,14),"""")"),"")</f>
        <v/>
      </c>
      <c r="J245" s="138" t="str">
        <f>IFERROR(__xludf.DUMMYFUNCTION("IFERROR(INDEX(FILTER('Vân tay'!$A$5:$O270,'Vân tay'!$C$5:$C270=F245,'Vân tay'!$B$5:$B270=D245),1,15),"""")"),"")</f>
        <v/>
      </c>
      <c r="K245" s="196" t="str">
        <f t="shared" si="1"/>
        <v/>
      </c>
      <c r="L245" s="196" t="str">
        <f t="shared" si="2"/>
        <v/>
      </c>
      <c r="M245" s="197" t="str">
        <f t="shared" si="9"/>
        <v/>
      </c>
      <c r="N245" s="198" t="str">
        <f t="shared" si="3"/>
        <v/>
      </c>
      <c r="O245" s="198" t="str">
        <f t="shared" si="10"/>
        <v/>
      </c>
      <c r="P245" s="198"/>
      <c r="Q245" s="198">
        <f t="shared" si="4"/>
        <v>0</v>
      </c>
      <c r="R245" s="198">
        <f t="shared" si="5"/>
        <v>0</v>
      </c>
      <c r="S245" s="199">
        <f t="shared" si="6"/>
        <v>0</v>
      </c>
      <c r="T245" s="198">
        <f t="shared" si="7"/>
        <v>0</v>
      </c>
      <c r="U245" s="198"/>
      <c r="V245" s="198"/>
      <c r="W245" s="198">
        <f t="shared" si="8"/>
        <v>0</v>
      </c>
      <c r="X245" s="200"/>
    </row>
    <row r="246">
      <c r="A246" s="135"/>
      <c r="B246" s="135"/>
      <c r="C246" s="135"/>
      <c r="D246" s="195"/>
      <c r="E246" s="135" t="str">
        <f>IFERROR(VLOOKUP(C246,'Công T5'!$C$7:$F$89,4,0),"")</f>
        <v/>
      </c>
      <c r="F246" s="137" t="str">
        <f>IFERROR(__xludf.DUMMYFUNCTION("INDEX(FILTER('Công T5'!$B$8:$C$89,'Công T5'!$C$8:$C$89=C246),1,1)"),"")</f>
        <v/>
      </c>
      <c r="G246" s="138" t="str">
        <f>IFERROR(__xludf.DUMMYFUNCTION("IFERROR(INDEX(FILTER('Vân tay'!$A$5:$O270,'Vân tay'!$C$5:$C270=F246,'Vân tay'!$B$5:$B270=D246),1,10),"""")"),"")</f>
        <v/>
      </c>
      <c r="H246" s="138" t="str">
        <f>IFERROR(__xludf.DUMMYFUNCTION("IFERROR(INDEX(FILTER('Vân tay'!$A$5:$O270,'Vân tay'!$C$5:$C270=F246,'Vân tay'!$B$5:$B270=D246),1,11),"""")"),"")</f>
        <v/>
      </c>
      <c r="I246" s="138" t="str">
        <f>IFERROR(__xludf.DUMMYFUNCTION("IFERROR(INDEX(FILTER('Vân tay'!$A$5:$O270,'Vân tay'!$C$5:$C270=F246,'Vân tay'!$B$5:$B270=D246),1,14),"""")"),"")</f>
        <v/>
      </c>
      <c r="J246" s="138" t="str">
        <f>IFERROR(__xludf.DUMMYFUNCTION("IFERROR(INDEX(FILTER('Vân tay'!$A$5:$O270,'Vân tay'!$C$5:$C270=F246,'Vân tay'!$B$5:$B270=D246),1,15),"""")"),"")</f>
        <v/>
      </c>
      <c r="K246" s="196" t="str">
        <f t="shared" si="1"/>
        <v/>
      </c>
      <c r="L246" s="196" t="str">
        <f t="shared" si="2"/>
        <v/>
      </c>
      <c r="M246" s="197" t="str">
        <f t="shared" si="9"/>
        <v/>
      </c>
      <c r="N246" s="198" t="str">
        <f t="shared" si="3"/>
        <v/>
      </c>
      <c r="O246" s="198" t="str">
        <f t="shared" si="10"/>
        <v/>
      </c>
      <c r="P246" s="198"/>
      <c r="Q246" s="198">
        <f t="shared" si="4"/>
        <v>0</v>
      </c>
      <c r="R246" s="198">
        <f t="shared" si="5"/>
        <v>0</v>
      </c>
      <c r="S246" s="199">
        <f t="shared" si="6"/>
        <v>0</v>
      </c>
      <c r="T246" s="198">
        <f t="shared" si="7"/>
        <v>0</v>
      </c>
      <c r="U246" s="198"/>
      <c r="V246" s="198"/>
      <c r="W246" s="198">
        <f t="shared" si="8"/>
        <v>0</v>
      </c>
      <c r="X246" s="200"/>
    </row>
    <row r="247">
      <c r="A247" s="135"/>
      <c r="B247" s="135"/>
      <c r="C247" s="135"/>
      <c r="D247" s="195"/>
      <c r="E247" s="135" t="str">
        <f>IFERROR(VLOOKUP(C247,'Công T5'!$C$7:$F$89,4,0),"")</f>
        <v/>
      </c>
      <c r="F247" s="137" t="str">
        <f>IFERROR(__xludf.DUMMYFUNCTION("INDEX(FILTER('Công T5'!$B$8:$C$89,'Công T5'!$C$8:$C$89=C247),1,1)"),"")</f>
        <v/>
      </c>
      <c r="G247" s="138" t="str">
        <f>IFERROR(__xludf.DUMMYFUNCTION("IFERROR(INDEX(FILTER('Vân tay'!$A$5:$O270,'Vân tay'!$C$5:$C270=F247,'Vân tay'!$B$5:$B270=D247),1,10),"""")"),"")</f>
        <v/>
      </c>
      <c r="H247" s="138" t="str">
        <f>IFERROR(__xludf.DUMMYFUNCTION("IFERROR(INDEX(FILTER('Vân tay'!$A$5:$O270,'Vân tay'!$C$5:$C270=F247,'Vân tay'!$B$5:$B270=D247),1,11),"""")"),"")</f>
        <v/>
      </c>
      <c r="I247" s="138" t="str">
        <f>IFERROR(__xludf.DUMMYFUNCTION("IFERROR(INDEX(FILTER('Vân tay'!$A$5:$O270,'Vân tay'!$C$5:$C270=F247,'Vân tay'!$B$5:$B270=D247),1,14),"""")"),"")</f>
        <v/>
      </c>
      <c r="J247" s="138" t="str">
        <f>IFERROR(__xludf.DUMMYFUNCTION("IFERROR(INDEX(FILTER('Vân tay'!$A$5:$O270,'Vân tay'!$C$5:$C270=F247,'Vân tay'!$B$5:$B270=D247),1,15),"""")"),"")</f>
        <v/>
      </c>
      <c r="K247" s="196" t="str">
        <f t="shared" si="1"/>
        <v/>
      </c>
      <c r="L247" s="196" t="str">
        <f t="shared" si="2"/>
        <v/>
      </c>
      <c r="M247" s="197" t="str">
        <f t="shared" si="9"/>
        <v/>
      </c>
      <c r="N247" s="198" t="str">
        <f t="shared" si="3"/>
        <v/>
      </c>
      <c r="O247" s="198" t="str">
        <f t="shared" si="10"/>
        <v/>
      </c>
      <c r="P247" s="198"/>
      <c r="Q247" s="198">
        <f t="shared" si="4"/>
        <v>0</v>
      </c>
      <c r="R247" s="198">
        <f t="shared" si="5"/>
        <v>0</v>
      </c>
      <c r="S247" s="199">
        <f t="shared" si="6"/>
        <v>0</v>
      </c>
      <c r="T247" s="198">
        <f t="shared" si="7"/>
        <v>0</v>
      </c>
      <c r="U247" s="198"/>
      <c r="V247" s="198"/>
      <c r="W247" s="198">
        <f t="shared" si="8"/>
        <v>0</v>
      </c>
      <c r="X247" s="200"/>
    </row>
    <row r="248">
      <c r="A248" s="135"/>
      <c r="B248" s="135"/>
      <c r="C248" s="135"/>
      <c r="D248" s="195"/>
      <c r="E248" s="135" t="str">
        <f>IFERROR(VLOOKUP(C248,'Công T5'!$C$7:$F$89,4,0),"")</f>
        <v/>
      </c>
      <c r="F248" s="137" t="str">
        <f>IFERROR(__xludf.DUMMYFUNCTION("INDEX(FILTER('Công T5'!$B$8:$C$89,'Công T5'!$C$8:$C$89=C248),1,1)"),"")</f>
        <v/>
      </c>
      <c r="G248" s="138" t="str">
        <f>IFERROR(__xludf.DUMMYFUNCTION("IFERROR(INDEX(FILTER('Vân tay'!$A$5:$O270,'Vân tay'!$C$5:$C270=F248,'Vân tay'!$B$5:$B270=D248),1,10),"""")"),"")</f>
        <v/>
      </c>
      <c r="H248" s="138" t="str">
        <f>IFERROR(__xludf.DUMMYFUNCTION("IFERROR(INDEX(FILTER('Vân tay'!$A$5:$O270,'Vân tay'!$C$5:$C270=F248,'Vân tay'!$B$5:$B270=D248),1,11),"""")"),"")</f>
        <v/>
      </c>
      <c r="I248" s="138" t="str">
        <f>IFERROR(__xludf.DUMMYFUNCTION("IFERROR(INDEX(FILTER('Vân tay'!$A$5:$O270,'Vân tay'!$C$5:$C270=F248,'Vân tay'!$B$5:$B270=D248),1,14),"""")"),"")</f>
        <v/>
      </c>
      <c r="J248" s="138" t="str">
        <f>IFERROR(__xludf.DUMMYFUNCTION("IFERROR(INDEX(FILTER('Vân tay'!$A$5:$O270,'Vân tay'!$C$5:$C270=F248,'Vân tay'!$B$5:$B270=D248),1,15),"""")"),"")</f>
        <v/>
      </c>
      <c r="K248" s="196" t="str">
        <f t="shared" si="1"/>
        <v/>
      </c>
      <c r="L248" s="196" t="str">
        <f t="shared" si="2"/>
        <v/>
      </c>
      <c r="M248" s="197" t="str">
        <f t="shared" si="9"/>
        <v/>
      </c>
      <c r="N248" s="198" t="str">
        <f t="shared" si="3"/>
        <v/>
      </c>
      <c r="O248" s="198" t="str">
        <f t="shared" si="10"/>
        <v/>
      </c>
      <c r="P248" s="198"/>
      <c r="Q248" s="198">
        <f t="shared" si="4"/>
        <v>0</v>
      </c>
      <c r="R248" s="198">
        <f t="shared" si="5"/>
        <v>0</v>
      </c>
      <c r="S248" s="199">
        <f t="shared" si="6"/>
        <v>0</v>
      </c>
      <c r="T248" s="198">
        <f t="shared" si="7"/>
        <v>0</v>
      </c>
      <c r="U248" s="198"/>
      <c r="V248" s="198"/>
      <c r="W248" s="198">
        <f t="shared" si="8"/>
        <v>0</v>
      </c>
      <c r="X248" s="200"/>
    </row>
    <row r="249">
      <c r="A249" s="135"/>
      <c r="B249" s="135"/>
      <c r="C249" s="135"/>
      <c r="D249" s="195"/>
      <c r="E249" s="135" t="str">
        <f>IFERROR(VLOOKUP(C249,'Công T5'!$C$7:$F$89,4,0),"")</f>
        <v/>
      </c>
      <c r="F249" s="137" t="str">
        <f>IFERROR(__xludf.DUMMYFUNCTION("INDEX(FILTER('Công T5'!$B$8:$C$89,'Công T5'!$C$8:$C$89=C249),1,1)"),"")</f>
        <v/>
      </c>
      <c r="G249" s="138" t="str">
        <f>IFERROR(__xludf.DUMMYFUNCTION("IFERROR(INDEX(FILTER('Vân tay'!$A$5:$O270,'Vân tay'!$C$5:$C270=F249,'Vân tay'!$B$5:$B270=D249),1,10),"""")"),"")</f>
        <v/>
      </c>
      <c r="H249" s="138" t="str">
        <f>IFERROR(__xludf.DUMMYFUNCTION("IFERROR(INDEX(FILTER('Vân tay'!$A$5:$O270,'Vân tay'!$C$5:$C270=F249,'Vân tay'!$B$5:$B270=D249),1,11),"""")"),"")</f>
        <v/>
      </c>
      <c r="I249" s="138" t="str">
        <f>IFERROR(__xludf.DUMMYFUNCTION("IFERROR(INDEX(FILTER('Vân tay'!$A$5:$O270,'Vân tay'!$C$5:$C270=F249,'Vân tay'!$B$5:$B270=D249),1,14),"""")"),"")</f>
        <v/>
      </c>
      <c r="J249" s="138" t="str">
        <f>IFERROR(__xludf.DUMMYFUNCTION("IFERROR(INDEX(FILTER('Vân tay'!$A$5:$O270,'Vân tay'!$C$5:$C270=F249,'Vân tay'!$B$5:$B270=D249),1,15),"""")"),"")</f>
        <v/>
      </c>
      <c r="K249" s="196" t="str">
        <f t="shared" si="1"/>
        <v/>
      </c>
      <c r="L249" s="196" t="str">
        <f t="shared" si="2"/>
        <v/>
      </c>
      <c r="M249" s="197" t="str">
        <f t="shared" si="9"/>
        <v/>
      </c>
      <c r="N249" s="198" t="str">
        <f t="shared" si="3"/>
        <v/>
      </c>
      <c r="O249" s="198" t="str">
        <f t="shared" si="10"/>
        <v/>
      </c>
      <c r="P249" s="198"/>
      <c r="Q249" s="198">
        <f t="shared" si="4"/>
        <v>0</v>
      </c>
      <c r="R249" s="198">
        <f t="shared" si="5"/>
        <v>0</v>
      </c>
      <c r="S249" s="199">
        <f t="shared" si="6"/>
        <v>0</v>
      </c>
      <c r="T249" s="198">
        <f t="shared" si="7"/>
        <v>0</v>
      </c>
      <c r="U249" s="198"/>
      <c r="V249" s="198"/>
      <c r="W249" s="198">
        <f t="shared" si="8"/>
        <v>0</v>
      </c>
      <c r="X249" s="200"/>
    </row>
    <row r="250">
      <c r="A250" s="135"/>
      <c r="B250" s="135"/>
      <c r="C250" s="135"/>
      <c r="D250" s="195"/>
      <c r="E250" s="135" t="str">
        <f>IFERROR(VLOOKUP(C250,'Công T5'!$C$7:$F$89,4,0),"")</f>
        <v/>
      </c>
      <c r="F250" s="137" t="str">
        <f>IFERROR(__xludf.DUMMYFUNCTION("INDEX(FILTER('Công T5'!$B$8:$C$89,'Công T5'!$C$8:$C$89=C250),1,1)"),"")</f>
        <v/>
      </c>
      <c r="G250" s="138" t="str">
        <f>IFERROR(__xludf.DUMMYFUNCTION("IFERROR(INDEX(FILTER('Vân tay'!$A$5:$O270,'Vân tay'!$C$5:$C270=F250,'Vân tay'!$B$5:$B270=D250),1,10),"""")"),"")</f>
        <v/>
      </c>
      <c r="H250" s="138" t="str">
        <f>IFERROR(__xludf.DUMMYFUNCTION("IFERROR(INDEX(FILTER('Vân tay'!$A$5:$O270,'Vân tay'!$C$5:$C270=F250,'Vân tay'!$B$5:$B270=D250),1,11),"""")"),"")</f>
        <v/>
      </c>
      <c r="I250" s="138" t="str">
        <f>IFERROR(__xludf.DUMMYFUNCTION("IFERROR(INDEX(FILTER('Vân tay'!$A$5:$O270,'Vân tay'!$C$5:$C270=F250,'Vân tay'!$B$5:$B270=D250),1,14),"""")"),"")</f>
        <v/>
      </c>
      <c r="J250" s="138" t="str">
        <f>IFERROR(__xludf.DUMMYFUNCTION("IFERROR(INDEX(FILTER('Vân tay'!$A$5:$O270,'Vân tay'!$C$5:$C270=F250,'Vân tay'!$B$5:$B270=D250),1,15),"""")"),"")</f>
        <v/>
      </c>
      <c r="K250" s="196" t="str">
        <f t="shared" si="1"/>
        <v/>
      </c>
      <c r="L250" s="196" t="str">
        <f t="shared" si="2"/>
        <v/>
      </c>
      <c r="M250" s="197" t="str">
        <f t="shared" si="9"/>
        <v/>
      </c>
      <c r="N250" s="198" t="str">
        <f t="shared" si="3"/>
        <v/>
      </c>
      <c r="O250" s="198" t="str">
        <f t="shared" si="10"/>
        <v/>
      </c>
      <c r="P250" s="198"/>
      <c r="Q250" s="198">
        <f t="shared" si="4"/>
        <v>0</v>
      </c>
      <c r="R250" s="198">
        <f t="shared" si="5"/>
        <v>0</v>
      </c>
      <c r="S250" s="199">
        <f t="shared" si="6"/>
        <v>0</v>
      </c>
      <c r="T250" s="198">
        <f t="shared" si="7"/>
        <v>0</v>
      </c>
      <c r="U250" s="198"/>
      <c r="V250" s="198"/>
      <c r="W250" s="198">
        <f t="shared" si="8"/>
        <v>0</v>
      </c>
      <c r="X250" s="200"/>
    </row>
    <row r="251">
      <c r="A251" s="135"/>
      <c r="B251" s="135"/>
      <c r="C251" s="135"/>
      <c r="D251" s="195"/>
      <c r="E251" s="135" t="str">
        <f>IFERROR(VLOOKUP(C251,'Công T5'!$C$7:$F$89,4,0),"")</f>
        <v/>
      </c>
      <c r="F251" s="137" t="str">
        <f>IFERROR(__xludf.DUMMYFUNCTION("INDEX(FILTER('Công T5'!$B$8:$C$89,'Công T5'!$C$8:$C$89=C251),1,1)"),"")</f>
        <v/>
      </c>
      <c r="G251" s="138" t="str">
        <f>IFERROR(__xludf.DUMMYFUNCTION("IFERROR(INDEX(FILTER('Vân tay'!$A$5:$O270,'Vân tay'!$C$5:$C270=F251,'Vân tay'!$B$5:$B270=D251),1,10),"""")"),"")</f>
        <v/>
      </c>
      <c r="H251" s="138" t="str">
        <f>IFERROR(__xludf.DUMMYFUNCTION("IFERROR(INDEX(FILTER('Vân tay'!$A$5:$O270,'Vân tay'!$C$5:$C270=F251,'Vân tay'!$B$5:$B270=D251),1,11),"""")"),"")</f>
        <v/>
      </c>
      <c r="I251" s="138" t="str">
        <f>IFERROR(__xludf.DUMMYFUNCTION("IFERROR(INDEX(FILTER('Vân tay'!$A$5:$O270,'Vân tay'!$C$5:$C270=F251,'Vân tay'!$B$5:$B270=D251),1,14),"""")"),"")</f>
        <v/>
      </c>
      <c r="J251" s="138" t="str">
        <f>IFERROR(__xludf.DUMMYFUNCTION("IFERROR(INDEX(FILTER('Vân tay'!$A$5:$O270,'Vân tay'!$C$5:$C270=F251,'Vân tay'!$B$5:$B270=D251),1,15),"""")"),"")</f>
        <v/>
      </c>
      <c r="K251" s="196" t="str">
        <f t="shared" si="1"/>
        <v/>
      </c>
      <c r="L251" s="196" t="str">
        <f t="shared" si="2"/>
        <v/>
      </c>
      <c r="M251" s="197" t="str">
        <f t="shared" si="9"/>
        <v/>
      </c>
      <c r="N251" s="198" t="str">
        <f t="shared" si="3"/>
        <v/>
      </c>
      <c r="O251" s="198" t="str">
        <f t="shared" si="10"/>
        <v/>
      </c>
      <c r="P251" s="198"/>
      <c r="Q251" s="198">
        <f t="shared" si="4"/>
        <v>0</v>
      </c>
      <c r="R251" s="198">
        <f t="shared" si="5"/>
        <v>0</v>
      </c>
      <c r="S251" s="199">
        <f t="shared" si="6"/>
        <v>0</v>
      </c>
      <c r="T251" s="198">
        <f t="shared" si="7"/>
        <v>0</v>
      </c>
      <c r="U251" s="198"/>
      <c r="V251" s="198"/>
      <c r="W251" s="198">
        <f t="shared" si="8"/>
        <v>0</v>
      </c>
      <c r="X251" s="200"/>
    </row>
    <row r="252">
      <c r="A252" s="135"/>
      <c r="B252" s="135"/>
      <c r="C252" s="135"/>
      <c r="D252" s="195"/>
      <c r="E252" s="135" t="str">
        <f>IFERROR(VLOOKUP(C252,'Công T5'!$C$7:$F$89,4,0),"")</f>
        <v/>
      </c>
      <c r="F252" s="137" t="str">
        <f>IFERROR(__xludf.DUMMYFUNCTION("INDEX(FILTER('Công T5'!$B$8:$C$89,'Công T5'!$C$8:$C$89=C252),1,1)"),"")</f>
        <v/>
      </c>
      <c r="G252" s="138" t="str">
        <f>IFERROR(__xludf.DUMMYFUNCTION("IFERROR(INDEX(FILTER('Vân tay'!$A$5:$O270,'Vân tay'!$C$5:$C270=F252,'Vân tay'!$B$5:$B270=D252),1,10),"""")"),"")</f>
        <v/>
      </c>
      <c r="H252" s="138" t="str">
        <f>IFERROR(__xludf.DUMMYFUNCTION("IFERROR(INDEX(FILTER('Vân tay'!$A$5:$O270,'Vân tay'!$C$5:$C270=F252,'Vân tay'!$B$5:$B270=D252),1,11),"""")"),"")</f>
        <v/>
      </c>
      <c r="I252" s="138" t="str">
        <f>IFERROR(__xludf.DUMMYFUNCTION("IFERROR(INDEX(FILTER('Vân tay'!$A$5:$O270,'Vân tay'!$C$5:$C270=F252,'Vân tay'!$B$5:$B270=D252),1,14),"""")"),"")</f>
        <v/>
      </c>
      <c r="J252" s="138" t="str">
        <f>IFERROR(__xludf.DUMMYFUNCTION("IFERROR(INDEX(FILTER('Vân tay'!$A$5:$O270,'Vân tay'!$C$5:$C270=F252,'Vân tay'!$B$5:$B270=D252),1,15),"""")"),"")</f>
        <v/>
      </c>
      <c r="K252" s="196" t="str">
        <f t="shared" si="1"/>
        <v/>
      </c>
      <c r="L252" s="196" t="str">
        <f t="shared" si="2"/>
        <v/>
      </c>
      <c r="M252" s="197" t="str">
        <f t="shared" si="9"/>
        <v/>
      </c>
      <c r="N252" s="198" t="str">
        <f t="shared" si="3"/>
        <v/>
      </c>
      <c r="O252" s="198" t="str">
        <f t="shared" si="10"/>
        <v/>
      </c>
      <c r="P252" s="198"/>
      <c r="Q252" s="198">
        <f t="shared" si="4"/>
        <v>0</v>
      </c>
      <c r="R252" s="198">
        <f t="shared" si="5"/>
        <v>0</v>
      </c>
      <c r="S252" s="199">
        <f t="shared" si="6"/>
        <v>0</v>
      </c>
      <c r="T252" s="198">
        <f t="shared" si="7"/>
        <v>0</v>
      </c>
      <c r="U252" s="198"/>
      <c r="V252" s="198"/>
      <c r="W252" s="198">
        <f t="shared" si="8"/>
        <v>0</v>
      </c>
      <c r="X252" s="200"/>
    </row>
    <row r="253">
      <c r="A253" s="135"/>
      <c r="B253" s="135"/>
      <c r="C253" s="135"/>
      <c r="D253" s="195"/>
      <c r="E253" s="135" t="str">
        <f>IFERROR(VLOOKUP(C253,'Công T5'!$C$7:$F$89,4,0),"")</f>
        <v/>
      </c>
      <c r="F253" s="137" t="str">
        <f>IFERROR(__xludf.DUMMYFUNCTION("INDEX(FILTER('Công T5'!$B$8:$C$89,'Công T5'!$C$8:$C$89=C253),1,1)"),"")</f>
        <v/>
      </c>
      <c r="G253" s="138" t="str">
        <f>IFERROR(__xludf.DUMMYFUNCTION("IFERROR(INDEX(FILTER('Vân tay'!$A$5:$O270,'Vân tay'!$C$5:$C270=F253,'Vân tay'!$B$5:$B270=D253),1,10),"""")"),"")</f>
        <v/>
      </c>
      <c r="H253" s="138" t="str">
        <f>IFERROR(__xludf.DUMMYFUNCTION("IFERROR(INDEX(FILTER('Vân tay'!$A$5:$O270,'Vân tay'!$C$5:$C270=F253,'Vân tay'!$B$5:$B270=D253),1,11),"""")"),"")</f>
        <v/>
      </c>
      <c r="I253" s="138" t="str">
        <f>IFERROR(__xludf.DUMMYFUNCTION("IFERROR(INDEX(FILTER('Vân tay'!$A$5:$O270,'Vân tay'!$C$5:$C270=F253,'Vân tay'!$B$5:$B270=D253),1,14),"""")"),"")</f>
        <v/>
      </c>
      <c r="J253" s="138" t="str">
        <f>IFERROR(__xludf.DUMMYFUNCTION("IFERROR(INDEX(FILTER('Vân tay'!$A$5:$O270,'Vân tay'!$C$5:$C270=F253,'Vân tay'!$B$5:$B270=D253),1,15),"""")"),"")</f>
        <v/>
      </c>
      <c r="K253" s="196" t="str">
        <f t="shared" si="1"/>
        <v/>
      </c>
      <c r="L253" s="196" t="str">
        <f t="shared" si="2"/>
        <v/>
      </c>
      <c r="M253" s="197" t="str">
        <f t="shared" si="9"/>
        <v/>
      </c>
      <c r="N253" s="198" t="str">
        <f t="shared" si="3"/>
        <v/>
      </c>
      <c r="O253" s="198" t="str">
        <f t="shared" si="10"/>
        <v/>
      </c>
      <c r="P253" s="198"/>
      <c r="Q253" s="198">
        <f t="shared" si="4"/>
        <v>0</v>
      </c>
      <c r="R253" s="198">
        <f t="shared" si="5"/>
        <v>0</v>
      </c>
      <c r="S253" s="199">
        <f t="shared" si="6"/>
        <v>0</v>
      </c>
      <c r="T253" s="198">
        <f t="shared" si="7"/>
        <v>0</v>
      </c>
      <c r="U253" s="198"/>
      <c r="V253" s="198"/>
      <c r="W253" s="198">
        <f t="shared" si="8"/>
        <v>0</v>
      </c>
      <c r="X253" s="200"/>
    </row>
    <row r="254">
      <c r="A254" s="135"/>
      <c r="B254" s="135"/>
      <c r="C254" s="135"/>
      <c r="D254" s="195"/>
      <c r="E254" s="135" t="str">
        <f>IFERROR(VLOOKUP(C254,'Công T5'!$C$7:$F$89,4,0),"")</f>
        <v/>
      </c>
      <c r="F254" s="137" t="str">
        <f>IFERROR(__xludf.DUMMYFUNCTION("INDEX(FILTER('Công T5'!$B$8:$C$89,'Công T5'!$C$8:$C$89=C254),1,1)"),"")</f>
        <v/>
      </c>
      <c r="G254" s="138" t="str">
        <f>IFERROR(__xludf.DUMMYFUNCTION("IFERROR(INDEX(FILTER('Vân tay'!$A$5:$O270,'Vân tay'!$C$5:$C270=F254,'Vân tay'!$B$5:$B270=D254),1,10),"""")"),"")</f>
        <v/>
      </c>
      <c r="H254" s="138" t="str">
        <f>IFERROR(__xludf.DUMMYFUNCTION("IFERROR(INDEX(FILTER('Vân tay'!$A$5:$O270,'Vân tay'!$C$5:$C270=F254,'Vân tay'!$B$5:$B270=D254),1,11),"""")"),"")</f>
        <v/>
      </c>
      <c r="I254" s="138" t="str">
        <f>IFERROR(__xludf.DUMMYFUNCTION("IFERROR(INDEX(FILTER('Vân tay'!$A$5:$O270,'Vân tay'!$C$5:$C270=F254,'Vân tay'!$B$5:$B270=D254),1,14),"""")"),"")</f>
        <v/>
      </c>
      <c r="J254" s="138" t="str">
        <f>IFERROR(__xludf.DUMMYFUNCTION("IFERROR(INDEX(FILTER('Vân tay'!$A$5:$O270,'Vân tay'!$C$5:$C270=F254,'Vân tay'!$B$5:$B270=D254),1,15),"""")"),"")</f>
        <v/>
      </c>
      <c r="K254" s="196" t="str">
        <f t="shared" si="1"/>
        <v/>
      </c>
      <c r="L254" s="196" t="str">
        <f t="shared" si="2"/>
        <v/>
      </c>
      <c r="M254" s="197" t="str">
        <f t="shared" si="9"/>
        <v/>
      </c>
      <c r="N254" s="198" t="str">
        <f t="shared" si="3"/>
        <v/>
      </c>
      <c r="O254" s="198" t="str">
        <f t="shared" si="10"/>
        <v/>
      </c>
      <c r="P254" s="198"/>
      <c r="Q254" s="198">
        <f t="shared" si="4"/>
        <v>0</v>
      </c>
      <c r="R254" s="198">
        <f t="shared" si="5"/>
        <v>0</v>
      </c>
      <c r="S254" s="199">
        <f t="shared" si="6"/>
        <v>0</v>
      </c>
      <c r="T254" s="198">
        <f t="shared" si="7"/>
        <v>0</v>
      </c>
      <c r="U254" s="198"/>
      <c r="V254" s="198"/>
      <c r="W254" s="198">
        <f t="shared" si="8"/>
        <v>0</v>
      </c>
      <c r="X254" s="200"/>
    </row>
    <row r="255">
      <c r="A255" s="135"/>
      <c r="B255" s="135"/>
      <c r="C255" s="135"/>
      <c r="D255" s="195"/>
      <c r="E255" s="135" t="str">
        <f>IFERROR(VLOOKUP(C255,'Công T5'!$C$7:$F$89,4,0),"")</f>
        <v/>
      </c>
      <c r="F255" s="137" t="str">
        <f>IFERROR(__xludf.DUMMYFUNCTION("INDEX(FILTER('Công T5'!$B$8:$C$89,'Công T5'!$C$8:$C$89=C255),1,1)"),"")</f>
        <v/>
      </c>
      <c r="G255" s="138" t="str">
        <f>IFERROR(__xludf.DUMMYFUNCTION("IFERROR(INDEX(FILTER('Vân tay'!$A$5:$O270,'Vân tay'!$C$5:$C270=F255,'Vân tay'!$B$5:$B270=D255),1,10),"""")"),"")</f>
        <v/>
      </c>
      <c r="H255" s="138" t="str">
        <f>IFERROR(__xludf.DUMMYFUNCTION("IFERROR(INDEX(FILTER('Vân tay'!$A$5:$O270,'Vân tay'!$C$5:$C270=F255,'Vân tay'!$B$5:$B270=D255),1,11),"""")"),"")</f>
        <v/>
      </c>
      <c r="I255" s="138" t="str">
        <f>IFERROR(__xludf.DUMMYFUNCTION("IFERROR(INDEX(FILTER('Vân tay'!$A$5:$O270,'Vân tay'!$C$5:$C270=F255,'Vân tay'!$B$5:$B270=D255),1,14),"""")"),"")</f>
        <v/>
      </c>
      <c r="J255" s="138" t="str">
        <f>IFERROR(__xludf.DUMMYFUNCTION("IFERROR(INDEX(FILTER('Vân tay'!$A$5:$O270,'Vân tay'!$C$5:$C270=F255,'Vân tay'!$B$5:$B270=D255),1,15),"""")"),"")</f>
        <v/>
      </c>
      <c r="K255" s="196" t="str">
        <f t="shared" si="1"/>
        <v/>
      </c>
      <c r="L255" s="196" t="str">
        <f t="shared" si="2"/>
        <v/>
      </c>
      <c r="M255" s="197" t="str">
        <f t="shared" si="9"/>
        <v/>
      </c>
      <c r="N255" s="198" t="str">
        <f t="shared" si="3"/>
        <v/>
      </c>
      <c r="O255" s="198" t="str">
        <f t="shared" si="10"/>
        <v/>
      </c>
      <c r="P255" s="198"/>
      <c r="Q255" s="198">
        <f t="shared" si="4"/>
        <v>0</v>
      </c>
      <c r="R255" s="198">
        <f t="shared" si="5"/>
        <v>0</v>
      </c>
      <c r="S255" s="199">
        <f t="shared" si="6"/>
        <v>0</v>
      </c>
      <c r="T255" s="198">
        <f t="shared" si="7"/>
        <v>0</v>
      </c>
      <c r="U255" s="198"/>
      <c r="V255" s="198"/>
      <c r="W255" s="198">
        <f t="shared" si="8"/>
        <v>0</v>
      </c>
      <c r="X255" s="200"/>
    </row>
    <row r="256">
      <c r="A256" s="135"/>
      <c r="B256" s="135"/>
      <c r="C256" s="135"/>
      <c r="D256" s="195"/>
      <c r="E256" s="135" t="str">
        <f>IFERROR(VLOOKUP(C256,'Công T5'!$C$7:$F$89,4,0),"")</f>
        <v/>
      </c>
      <c r="F256" s="137" t="str">
        <f>IFERROR(__xludf.DUMMYFUNCTION("INDEX(FILTER('Công T5'!$B$8:$C$89,'Công T5'!$C$8:$C$89=C256),1,1)"),"")</f>
        <v/>
      </c>
      <c r="G256" s="138" t="str">
        <f>IFERROR(__xludf.DUMMYFUNCTION("IFERROR(INDEX(FILTER('Vân tay'!$A$5:$O270,'Vân tay'!$C$5:$C270=F256,'Vân tay'!$B$5:$B270=D256),1,10),"""")"),"")</f>
        <v/>
      </c>
      <c r="H256" s="138" t="str">
        <f>IFERROR(__xludf.DUMMYFUNCTION("IFERROR(INDEX(FILTER('Vân tay'!$A$5:$O270,'Vân tay'!$C$5:$C270=F256,'Vân tay'!$B$5:$B270=D256),1,11),"""")"),"")</f>
        <v/>
      </c>
      <c r="I256" s="138" t="str">
        <f>IFERROR(__xludf.DUMMYFUNCTION("IFERROR(INDEX(FILTER('Vân tay'!$A$5:$O270,'Vân tay'!$C$5:$C270=F256,'Vân tay'!$B$5:$B270=D256),1,14),"""")"),"")</f>
        <v/>
      </c>
      <c r="J256" s="138" t="str">
        <f>IFERROR(__xludf.DUMMYFUNCTION("IFERROR(INDEX(FILTER('Vân tay'!$A$5:$O270,'Vân tay'!$C$5:$C270=F256,'Vân tay'!$B$5:$B270=D256),1,15),"""")"),"")</f>
        <v/>
      </c>
      <c r="K256" s="196" t="str">
        <f t="shared" si="1"/>
        <v/>
      </c>
      <c r="L256" s="196" t="str">
        <f t="shared" si="2"/>
        <v/>
      </c>
      <c r="M256" s="197" t="str">
        <f t="shared" si="9"/>
        <v/>
      </c>
      <c r="N256" s="198" t="str">
        <f t="shared" si="3"/>
        <v/>
      </c>
      <c r="O256" s="198" t="str">
        <f t="shared" si="10"/>
        <v/>
      </c>
      <c r="P256" s="198"/>
      <c r="Q256" s="198">
        <f t="shared" si="4"/>
        <v>0</v>
      </c>
      <c r="R256" s="198">
        <f t="shared" si="5"/>
        <v>0</v>
      </c>
      <c r="S256" s="199">
        <f t="shared" si="6"/>
        <v>0</v>
      </c>
      <c r="T256" s="198">
        <f t="shared" si="7"/>
        <v>0</v>
      </c>
      <c r="U256" s="198"/>
      <c r="V256" s="198"/>
      <c r="W256" s="198">
        <f t="shared" si="8"/>
        <v>0</v>
      </c>
      <c r="X256" s="200"/>
    </row>
    <row r="257">
      <c r="A257" s="135"/>
      <c r="B257" s="135"/>
      <c r="C257" s="135"/>
      <c r="D257" s="195"/>
      <c r="E257" s="135" t="str">
        <f>IFERROR(VLOOKUP(C257,'Công T5'!$C$7:$F$89,4,0),"")</f>
        <v/>
      </c>
      <c r="F257" s="137" t="str">
        <f>IFERROR(__xludf.DUMMYFUNCTION("INDEX(FILTER('Công T5'!$B$8:$C$89,'Công T5'!$C$8:$C$89=C257),1,1)"),"")</f>
        <v/>
      </c>
      <c r="G257" s="138" t="str">
        <f>IFERROR(__xludf.DUMMYFUNCTION("IFERROR(INDEX(FILTER('Vân tay'!$A$5:$O270,'Vân tay'!$C$5:$C270=F257,'Vân tay'!$B$5:$B270=D257),1,10),"""")"),"")</f>
        <v/>
      </c>
      <c r="H257" s="138" t="str">
        <f>IFERROR(__xludf.DUMMYFUNCTION("IFERROR(INDEX(FILTER('Vân tay'!$A$5:$O270,'Vân tay'!$C$5:$C270=F257,'Vân tay'!$B$5:$B270=D257),1,11),"""")"),"")</f>
        <v/>
      </c>
      <c r="I257" s="138" t="str">
        <f>IFERROR(__xludf.DUMMYFUNCTION("IFERROR(INDEX(FILTER('Vân tay'!$A$5:$O270,'Vân tay'!$C$5:$C270=F257,'Vân tay'!$B$5:$B270=D257),1,14),"""")"),"")</f>
        <v/>
      </c>
      <c r="J257" s="138" t="str">
        <f>IFERROR(__xludf.DUMMYFUNCTION("IFERROR(INDEX(FILTER('Vân tay'!$A$5:$O270,'Vân tay'!$C$5:$C270=F257,'Vân tay'!$B$5:$B270=D257),1,15),"""")"),"")</f>
        <v/>
      </c>
      <c r="K257" s="196" t="str">
        <f t="shared" si="1"/>
        <v/>
      </c>
      <c r="L257" s="196" t="str">
        <f t="shared" si="2"/>
        <v/>
      </c>
      <c r="M257" s="197" t="str">
        <f t="shared" si="9"/>
        <v/>
      </c>
      <c r="N257" s="198" t="str">
        <f t="shared" si="3"/>
        <v/>
      </c>
      <c r="O257" s="198" t="str">
        <f t="shared" si="10"/>
        <v/>
      </c>
      <c r="P257" s="198"/>
      <c r="Q257" s="198">
        <f t="shared" si="4"/>
        <v>0</v>
      </c>
      <c r="R257" s="198">
        <f t="shared" si="5"/>
        <v>0</v>
      </c>
      <c r="S257" s="199">
        <f t="shared" si="6"/>
        <v>0</v>
      </c>
      <c r="T257" s="198">
        <f t="shared" si="7"/>
        <v>0</v>
      </c>
      <c r="U257" s="198"/>
      <c r="V257" s="198"/>
      <c r="W257" s="198">
        <f t="shared" si="8"/>
        <v>0</v>
      </c>
      <c r="X257" s="200"/>
    </row>
    <row r="258">
      <c r="A258" s="135"/>
      <c r="B258" s="135"/>
      <c r="C258" s="135"/>
      <c r="D258" s="195"/>
      <c r="E258" s="135" t="str">
        <f>IFERROR(VLOOKUP(C258,'Công T5'!$C$7:$F$89,4,0),"")</f>
        <v/>
      </c>
      <c r="F258" s="137" t="str">
        <f>IFERROR(__xludf.DUMMYFUNCTION("INDEX(FILTER('Công T5'!$B$8:$C$89,'Công T5'!$C$8:$C$89=C258),1,1)"),"")</f>
        <v/>
      </c>
      <c r="G258" s="138" t="str">
        <f>IFERROR(__xludf.DUMMYFUNCTION("IFERROR(INDEX(FILTER('Vân tay'!$A$5:$O270,'Vân tay'!$C$5:$C270=F258,'Vân tay'!$B$5:$B270=D258),1,10),"""")"),"")</f>
        <v/>
      </c>
      <c r="H258" s="138" t="str">
        <f>IFERROR(__xludf.DUMMYFUNCTION("IFERROR(INDEX(FILTER('Vân tay'!$A$5:$O270,'Vân tay'!$C$5:$C270=F258,'Vân tay'!$B$5:$B270=D258),1,11),"""")"),"")</f>
        <v/>
      </c>
      <c r="I258" s="138" t="str">
        <f>IFERROR(__xludf.DUMMYFUNCTION("IFERROR(INDEX(FILTER('Vân tay'!$A$5:$O270,'Vân tay'!$C$5:$C270=F258,'Vân tay'!$B$5:$B270=D258),1,14),"""")"),"")</f>
        <v/>
      </c>
      <c r="J258" s="138" t="str">
        <f>IFERROR(__xludf.DUMMYFUNCTION("IFERROR(INDEX(FILTER('Vân tay'!$A$5:$O270,'Vân tay'!$C$5:$C270=F258,'Vân tay'!$B$5:$B270=D258),1,15),"""")"),"")</f>
        <v/>
      </c>
      <c r="K258" s="196" t="str">
        <f t="shared" si="1"/>
        <v/>
      </c>
      <c r="L258" s="196" t="str">
        <f t="shared" si="2"/>
        <v/>
      </c>
      <c r="M258" s="197" t="str">
        <f t="shared" si="9"/>
        <v/>
      </c>
      <c r="N258" s="198" t="str">
        <f t="shared" si="3"/>
        <v/>
      </c>
      <c r="O258" s="198" t="str">
        <f t="shared" si="10"/>
        <v/>
      </c>
      <c r="P258" s="198"/>
      <c r="Q258" s="198">
        <f t="shared" si="4"/>
        <v>0</v>
      </c>
      <c r="R258" s="198">
        <f t="shared" si="5"/>
        <v>0</v>
      </c>
      <c r="S258" s="199">
        <f t="shared" si="6"/>
        <v>0</v>
      </c>
      <c r="T258" s="198">
        <f t="shared" si="7"/>
        <v>0</v>
      </c>
      <c r="U258" s="198"/>
      <c r="V258" s="198"/>
      <c r="W258" s="198">
        <f t="shared" si="8"/>
        <v>0</v>
      </c>
      <c r="X258" s="200"/>
    </row>
    <row r="259">
      <c r="A259" s="135"/>
      <c r="B259" s="135"/>
      <c r="C259" s="195"/>
      <c r="D259" s="195"/>
      <c r="E259" s="135" t="str">
        <f>IFERROR(VLOOKUP(C259,'Công T5'!$C$7:$F$89,4,0),"")</f>
        <v/>
      </c>
      <c r="F259" s="137" t="str">
        <f>IFERROR(__xludf.DUMMYFUNCTION("INDEX(FILTER('Công T5'!$B$8:$C$89,'Công T5'!$C$8:$C$89=C259),1,1)"),"")</f>
        <v/>
      </c>
      <c r="G259" s="138" t="str">
        <f>IFERROR(__xludf.DUMMYFUNCTION("IFERROR(INDEX(FILTER('Vân tay'!$A$5:$O270,'Vân tay'!$C$5:$C270=F259,'Vân tay'!$B$5:$B270=D259),1,10),"""")"),"")</f>
        <v/>
      </c>
      <c r="H259" s="138" t="str">
        <f>IFERROR(__xludf.DUMMYFUNCTION("IFERROR(INDEX(FILTER('Vân tay'!$A$5:$O270,'Vân tay'!$C$5:$C270=F259,'Vân tay'!$B$5:$B270=D259),1,11),"""")"),"")</f>
        <v/>
      </c>
      <c r="I259" s="138" t="str">
        <f>IFERROR(__xludf.DUMMYFUNCTION("IFERROR(INDEX(FILTER('Vân tay'!$A$5:$O270,'Vân tay'!$C$5:$C270=F259,'Vân tay'!$B$5:$B270=D259),1,14),"""")"),"")</f>
        <v/>
      </c>
      <c r="J259" s="138" t="str">
        <f>IFERROR(__xludf.DUMMYFUNCTION("IFERROR(INDEX(FILTER('Vân tay'!$A$5:$O270,'Vân tay'!$C$5:$C270=F259,'Vân tay'!$B$5:$B270=D259),1,15),"""")"),"")</f>
        <v/>
      </c>
      <c r="K259" s="196" t="str">
        <f t="shared" si="1"/>
        <v/>
      </c>
      <c r="L259" s="196" t="str">
        <f t="shared" si="2"/>
        <v/>
      </c>
      <c r="M259" s="197" t="str">
        <f t="shared" si="9"/>
        <v/>
      </c>
      <c r="N259" s="198" t="str">
        <f t="shared" si="3"/>
        <v/>
      </c>
      <c r="O259" s="198" t="str">
        <f t="shared" si="10"/>
        <v/>
      </c>
      <c r="P259" s="198"/>
      <c r="Q259" s="198">
        <f t="shared" si="4"/>
        <v>0</v>
      </c>
      <c r="R259" s="198">
        <f t="shared" si="5"/>
        <v>0</v>
      </c>
      <c r="S259" s="199">
        <f t="shared" si="6"/>
        <v>0</v>
      </c>
      <c r="T259" s="198">
        <f t="shared" si="7"/>
        <v>0</v>
      </c>
      <c r="U259" s="198"/>
      <c r="V259" s="198"/>
      <c r="W259" s="198">
        <f t="shared" si="8"/>
        <v>0</v>
      </c>
      <c r="X259" s="200"/>
    </row>
    <row r="260">
      <c r="A260" s="135"/>
      <c r="B260" s="135"/>
      <c r="C260" s="135"/>
      <c r="D260" s="195"/>
      <c r="E260" s="135" t="str">
        <f>IFERROR(VLOOKUP(C260,'Công T5'!$C$7:$F$89,4,0),"")</f>
        <v/>
      </c>
      <c r="F260" s="137" t="str">
        <f>IFERROR(__xludf.DUMMYFUNCTION("INDEX(FILTER('Công T5'!$B$8:$C$89,'Công T5'!$C$8:$C$89=C260),1,1)"),"")</f>
        <v/>
      </c>
      <c r="G260" s="138" t="str">
        <f>IFERROR(__xludf.DUMMYFUNCTION("IFERROR(INDEX(FILTER('Vân tay'!$A$5:$O270,'Vân tay'!$C$5:$C270=F260,'Vân tay'!$B$5:$B270=D260),1,10),"""")"),"")</f>
        <v/>
      </c>
      <c r="H260" s="138" t="str">
        <f>IFERROR(__xludf.DUMMYFUNCTION("IFERROR(INDEX(FILTER('Vân tay'!$A$5:$O270,'Vân tay'!$C$5:$C270=F260,'Vân tay'!$B$5:$B270=D260),1,11),"""")"),"")</f>
        <v/>
      </c>
      <c r="I260" s="138" t="str">
        <f>IFERROR(__xludf.DUMMYFUNCTION("IFERROR(INDEX(FILTER('Vân tay'!$A$5:$O270,'Vân tay'!$C$5:$C270=F260,'Vân tay'!$B$5:$B270=D260),1,14),"""")"),"")</f>
        <v/>
      </c>
      <c r="J260" s="138" t="str">
        <f>IFERROR(__xludf.DUMMYFUNCTION("IFERROR(INDEX(FILTER('Vân tay'!$A$5:$O270,'Vân tay'!$C$5:$C270=F260,'Vân tay'!$B$5:$B270=D260),1,15),"""")"),"")</f>
        <v/>
      </c>
      <c r="K260" s="196" t="str">
        <f t="shared" si="1"/>
        <v/>
      </c>
      <c r="L260" s="196" t="str">
        <f t="shared" si="2"/>
        <v/>
      </c>
      <c r="M260" s="197" t="str">
        <f t="shared" si="9"/>
        <v/>
      </c>
      <c r="N260" s="198" t="str">
        <f t="shared" si="3"/>
        <v/>
      </c>
      <c r="O260" s="198" t="str">
        <f t="shared" si="10"/>
        <v/>
      </c>
      <c r="P260" s="198"/>
      <c r="Q260" s="198">
        <f t="shared" si="4"/>
        <v>0</v>
      </c>
      <c r="R260" s="198">
        <f t="shared" si="5"/>
        <v>0</v>
      </c>
      <c r="S260" s="199">
        <f t="shared" si="6"/>
        <v>0</v>
      </c>
      <c r="T260" s="198">
        <f t="shared" si="7"/>
        <v>0</v>
      </c>
      <c r="U260" s="198"/>
      <c r="V260" s="198"/>
      <c r="W260" s="198">
        <f t="shared" si="8"/>
        <v>0</v>
      </c>
      <c r="X260" s="200"/>
    </row>
    <row r="261">
      <c r="A261" s="135"/>
      <c r="B261" s="135"/>
      <c r="C261" s="135"/>
      <c r="D261" s="195"/>
      <c r="E261" s="135" t="str">
        <f>IFERROR(VLOOKUP(C261,'Công T5'!$C$7:$F$89,4,0),"")</f>
        <v/>
      </c>
      <c r="F261" s="137" t="str">
        <f>IFERROR(__xludf.DUMMYFUNCTION("INDEX(FILTER('Công T5'!$B$8:$C$89,'Công T5'!$C$8:$C$89=C261),1,1)"),"")</f>
        <v/>
      </c>
      <c r="G261" s="138" t="str">
        <f>IFERROR(__xludf.DUMMYFUNCTION("IFERROR(INDEX(FILTER('Vân tay'!$A$5:$O270,'Vân tay'!$C$5:$C270=F261,'Vân tay'!$B$5:$B270=D261),1,10),"""")"),"")</f>
        <v/>
      </c>
      <c r="H261" s="138" t="str">
        <f>IFERROR(__xludf.DUMMYFUNCTION("IFERROR(INDEX(FILTER('Vân tay'!$A$5:$O270,'Vân tay'!$C$5:$C270=F261,'Vân tay'!$B$5:$B270=D261),1,11),"""")"),"")</f>
        <v/>
      </c>
      <c r="I261" s="138" t="str">
        <f>IFERROR(__xludf.DUMMYFUNCTION("IFERROR(INDEX(FILTER('Vân tay'!$A$5:$O270,'Vân tay'!$C$5:$C270=F261,'Vân tay'!$B$5:$B270=D261),1,14),"""")"),"")</f>
        <v/>
      </c>
      <c r="J261" s="138" t="str">
        <f>IFERROR(__xludf.DUMMYFUNCTION("IFERROR(INDEX(FILTER('Vân tay'!$A$5:$O270,'Vân tay'!$C$5:$C270=F261,'Vân tay'!$B$5:$B270=D261),1,15),"""")"),"")</f>
        <v/>
      </c>
      <c r="K261" s="196" t="str">
        <f t="shared" si="1"/>
        <v/>
      </c>
      <c r="L261" s="196" t="str">
        <f t="shared" si="2"/>
        <v/>
      </c>
      <c r="M261" s="197" t="str">
        <f t="shared" si="9"/>
        <v/>
      </c>
      <c r="N261" s="198" t="str">
        <f t="shared" si="3"/>
        <v/>
      </c>
      <c r="O261" s="198" t="str">
        <f t="shared" si="10"/>
        <v/>
      </c>
      <c r="P261" s="198"/>
      <c r="Q261" s="198">
        <f t="shared" si="4"/>
        <v>0</v>
      </c>
      <c r="R261" s="198">
        <f t="shared" si="5"/>
        <v>0</v>
      </c>
      <c r="S261" s="199">
        <f t="shared" si="6"/>
        <v>0</v>
      </c>
      <c r="T261" s="198">
        <f t="shared" si="7"/>
        <v>0</v>
      </c>
      <c r="U261" s="198"/>
      <c r="V261" s="198"/>
      <c r="W261" s="198">
        <f t="shared" si="8"/>
        <v>0</v>
      </c>
      <c r="X261" s="200"/>
    </row>
    <row r="262">
      <c r="A262" s="135"/>
      <c r="B262" s="135"/>
      <c r="C262" s="135"/>
      <c r="D262" s="195"/>
      <c r="E262" s="135" t="str">
        <f>IFERROR(VLOOKUP(C262,'Công T5'!$C$7:$F$89,4,0),"")</f>
        <v/>
      </c>
      <c r="F262" s="137" t="str">
        <f>IFERROR(__xludf.DUMMYFUNCTION("INDEX(FILTER('Công T5'!$B$8:$C$89,'Công T5'!$C$8:$C$89=C262),1,1)"),"")</f>
        <v/>
      </c>
      <c r="G262" s="138" t="str">
        <f>IFERROR(__xludf.DUMMYFUNCTION("IFERROR(INDEX(FILTER('Vân tay'!$A$5:$O270,'Vân tay'!$C$5:$C270=F262,'Vân tay'!$B$5:$B270=D262),1,10),"""")"),"")</f>
        <v/>
      </c>
      <c r="H262" s="138" t="str">
        <f>IFERROR(__xludf.DUMMYFUNCTION("IFERROR(INDEX(FILTER('Vân tay'!$A$5:$O270,'Vân tay'!$C$5:$C270=F262,'Vân tay'!$B$5:$B270=D262),1,11),"""")"),"")</f>
        <v/>
      </c>
      <c r="I262" s="138" t="str">
        <f>IFERROR(__xludf.DUMMYFUNCTION("IFERROR(INDEX(FILTER('Vân tay'!$A$5:$O270,'Vân tay'!$C$5:$C270=F262,'Vân tay'!$B$5:$B270=D262),1,14),"""")"),"")</f>
        <v/>
      </c>
      <c r="J262" s="138" t="str">
        <f>IFERROR(__xludf.DUMMYFUNCTION("IFERROR(INDEX(FILTER('Vân tay'!$A$5:$O270,'Vân tay'!$C$5:$C270=F262,'Vân tay'!$B$5:$B270=D262),1,15),"""")"),"")</f>
        <v/>
      </c>
      <c r="K262" s="196" t="str">
        <f t="shared" si="1"/>
        <v/>
      </c>
      <c r="L262" s="196" t="str">
        <f t="shared" si="2"/>
        <v/>
      </c>
      <c r="M262" s="197" t="str">
        <f t="shared" si="9"/>
        <v/>
      </c>
      <c r="N262" s="198" t="str">
        <f t="shared" si="3"/>
        <v/>
      </c>
      <c r="O262" s="198" t="str">
        <f t="shared" si="10"/>
        <v/>
      </c>
      <c r="P262" s="198"/>
      <c r="Q262" s="198">
        <f t="shared" si="4"/>
        <v>0</v>
      </c>
      <c r="R262" s="198">
        <f t="shared" si="5"/>
        <v>0</v>
      </c>
      <c r="S262" s="199">
        <f t="shared" si="6"/>
        <v>0</v>
      </c>
      <c r="T262" s="198">
        <f t="shared" si="7"/>
        <v>0</v>
      </c>
      <c r="U262" s="198"/>
      <c r="V262" s="198"/>
      <c r="W262" s="198">
        <f t="shared" si="8"/>
        <v>0</v>
      </c>
      <c r="X262" s="200"/>
    </row>
    <row r="263">
      <c r="A263" s="135"/>
      <c r="B263" s="135"/>
      <c r="C263" s="135"/>
      <c r="D263" s="195"/>
      <c r="E263" s="135" t="str">
        <f>IFERROR(VLOOKUP(C263,'Công T5'!$C$7:$F$89,4,0),"")</f>
        <v/>
      </c>
      <c r="F263" s="137" t="str">
        <f>IFERROR(__xludf.DUMMYFUNCTION("INDEX(FILTER('Công T5'!$B$8:$C$89,'Công T5'!$C$8:$C$89=C263),1,1)"),"")</f>
        <v/>
      </c>
      <c r="G263" s="138" t="str">
        <f>IFERROR(__xludf.DUMMYFUNCTION("IFERROR(INDEX(FILTER('Vân tay'!$A$5:$O270,'Vân tay'!$C$5:$C270=F263,'Vân tay'!$B$5:$B270=D263),1,10),"""")"),"")</f>
        <v/>
      </c>
      <c r="H263" s="138" t="str">
        <f>IFERROR(__xludf.DUMMYFUNCTION("IFERROR(INDEX(FILTER('Vân tay'!$A$5:$O270,'Vân tay'!$C$5:$C270=F263,'Vân tay'!$B$5:$B270=D263),1,11),"""")"),"")</f>
        <v/>
      </c>
      <c r="I263" s="138" t="str">
        <f>IFERROR(__xludf.DUMMYFUNCTION("IFERROR(INDEX(FILTER('Vân tay'!$A$5:$O270,'Vân tay'!$C$5:$C270=F263,'Vân tay'!$B$5:$B270=D263),1,14),"""")"),"")</f>
        <v/>
      </c>
      <c r="J263" s="138" t="str">
        <f>IFERROR(__xludf.DUMMYFUNCTION("IFERROR(INDEX(FILTER('Vân tay'!$A$5:$O270,'Vân tay'!$C$5:$C270=F263,'Vân tay'!$B$5:$B270=D263),1,15),"""")"),"")</f>
        <v/>
      </c>
      <c r="K263" s="196" t="str">
        <f t="shared" si="1"/>
        <v/>
      </c>
      <c r="L263" s="196" t="str">
        <f t="shared" si="2"/>
        <v/>
      </c>
      <c r="M263" s="197" t="str">
        <f t="shared" si="9"/>
        <v/>
      </c>
      <c r="N263" s="198" t="str">
        <f t="shared" si="3"/>
        <v/>
      </c>
      <c r="O263" s="198" t="str">
        <f t="shared" si="10"/>
        <v/>
      </c>
      <c r="P263" s="198"/>
      <c r="Q263" s="198">
        <f t="shared" si="4"/>
        <v>0</v>
      </c>
      <c r="R263" s="198">
        <f t="shared" si="5"/>
        <v>0</v>
      </c>
      <c r="S263" s="199">
        <f t="shared" si="6"/>
        <v>0</v>
      </c>
      <c r="T263" s="198">
        <f t="shared" si="7"/>
        <v>0</v>
      </c>
      <c r="U263" s="198"/>
      <c r="V263" s="198"/>
      <c r="W263" s="198">
        <f t="shared" si="8"/>
        <v>0</v>
      </c>
      <c r="X263" s="200"/>
    </row>
    <row r="264">
      <c r="A264" s="135"/>
      <c r="B264" s="135"/>
      <c r="C264" s="195"/>
      <c r="D264" s="195"/>
      <c r="E264" s="135" t="str">
        <f>IFERROR(VLOOKUP(C264,'Công T5'!$C$7:$F$89,4,0),"")</f>
        <v/>
      </c>
      <c r="F264" s="137" t="str">
        <f>IFERROR(__xludf.DUMMYFUNCTION("INDEX(FILTER('Công T5'!$B$8:$C$89,'Công T5'!$C$8:$C$89=C264),1,1)"),"")</f>
        <v/>
      </c>
      <c r="G264" s="138" t="str">
        <f>IFERROR(__xludf.DUMMYFUNCTION("IFERROR(INDEX(FILTER('Vân tay'!$A$5:$O270,'Vân tay'!$C$5:$C270=F264,'Vân tay'!$B$5:$B270=D264),1,10),"""")"),"")</f>
        <v/>
      </c>
      <c r="H264" s="138" t="str">
        <f>IFERROR(__xludf.DUMMYFUNCTION("IFERROR(INDEX(FILTER('Vân tay'!$A$5:$O270,'Vân tay'!$C$5:$C270=F264,'Vân tay'!$B$5:$B270=D264),1,11),"""")"),"")</f>
        <v/>
      </c>
      <c r="I264" s="138" t="str">
        <f>IFERROR(__xludf.DUMMYFUNCTION("IFERROR(INDEX(FILTER('Vân tay'!$A$5:$O270,'Vân tay'!$C$5:$C270=F264,'Vân tay'!$B$5:$B270=D264),1,14),"""")"),"")</f>
        <v/>
      </c>
      <c r="J264" s="138" t="str">
        <f>IFERROR(__xludf.DUMMYFUNCTION("IFERROR(INDEX(FILTER('Vân tay'!$A$5:$O270,'Vân tay'!$C$5:$C270=F264,'Vân tay'!$B$5:$B270=D264),1,15),"""")"),"")</f>
        <v/>
      </c>
      <c r="K264" s="196" t="str">
        <f t="shared" si="1"/>
        <v/>
      </c>
      <c r="L264" s="196" t="str">
        <f t="shared" si="2"/>
        <v/>
      </c>
      <c r="M264" s="197" t="str">
        <f t="shared" si="9"/>
        <v/>
      </c>
      <c r="N264" s="198" t="str">
        <f t="shared" si="3"/>
        <v/>
      </c>
      <c r="O264" s="198" t="str">
        <f t="shared" si="10"/>
        <v/>
      </c>
      <c r="P264" s="198"/>
      <c r="Q264" s="198">
        <f t="shared" si="4"/>
        <v>0</v>
      </c>
      <c r="R264" s="198">
        <f t="shared" si="5"/>
        <v>0</v>
      </c>
      <c r="S264" s="199">
        <f t="shared" si="6"/>
        <v>0</v>
      </c>
      <c r="T264" s="198">
        <f t="shared" si="7"/>
        <v>0</v>
      </c>
      <c r="U264" s="198"/>
      <c r="V264" s="198"/>
      <c r="W264" s="198">
        <f t="shared" si="8"/>
        <v>0</v>
      </c>
      <c r="X264" s="200"/>
    </row>
    <row r="265">
      <c r="A265" s="135"/>
      <c r="B265" s="135"/>
      <c r="C265" s="135"/>
      <c r="D265" s="195"/>
      <c r="E265" s="135" t="str">
        <f>IFERROR(VLOOKUP(C265,'Công T5'!$C$7:$F$89,4,0),"")</f>
        <v/>
      </c>
      <c r="F265" s="137" t="str">
        <f>IFERROR(__xludf.DUMMYFUNCTION("INDEX(FILTER('Công T5'!$B$8:$C$89,'Công T5'!$C$8:$C$89=C265),1,1)"),"")</f>
        <v/>
      </c>
      <c r="G265" s="138" t="str">
        <f>IFERROR(__xludf.DUMMYFUNCTION("IFERROR(INDEX(FILTER('Vân tay'!$A$5:$O270,'Vân tay'!$C$5:$C270=F265,'Vân tay'!$B$5:$B270=D265),1,10),"""")"),"")</f>
        <v/>
      </c>
      <c r="H265" s="138" t="str">
        <f>IFERROR(__xludf.DUMMYFUNCTION("IFERROR(INDEX(FILTER('Vân tay'!$A$5:$O270,'Vân tay'!$C$5:$C270=F265,'Vân tay'!$B$5:$B270=D265),1,11),"""")"),"")</f>
        <v/>
      </c>
      <c r="I265" s="138" t="str">
        <f>IFERROR(__xludf.DUMMYFUNCTION("IFERROR(INDEX(FILTER('Vân tay'!$A$5:$O270,'Vân tay'!$C$5:$C270=F265,'Vân tay'!$B$5:$B270=D265),1,14),"""")"),"")</f>
        <v/>
      </c>
      <c r="J265" s="138" t="str">
        <f>IFERROR(__xludf.DUMMYFUNCTION("IFERROR(INDEX(FILTER('Vân tay'!$A$5:$O270,'Vân tay'!$C$5:$C270=F265,'Vân tay'!$B$5:$B270=D265),1,15),"""")"),"")</f>
        <v/>
      </c>
      <c r="K265" s="196" t="str">
        <f t="shared" si="1"/>
        <v/>
      </c>
      <c r="L265" s="196" t="str">
        <f t="shared" si="2"/>
        <v/>
      </c>
      <c r="M265" s="197" t="str">
        <f t="shared" si="9"/>
        <v/>
      </c>
      <c r="N265" s="198" t="str">
        <f t="shared" si="3"/>
        <v/>
      </c>
      <c r="O265" s="198" t="str">
        <f t="shared" si="10"/>
        <v/>
      </c>
      <c r="P265" s="198"/>
      <c r="Q265" s="198">
        <f t="shared" si="4"/>
        <v>0</v>
      </c>
      <c r="R265" s="198">
        <f t="shared" si="5"/>
        <v>0</v>
      </c>
      <c r="S265" s="199">
        <f t="shared" si="6"/>
        <v>0</v>
      </c>
      <c r="T265" s="198">
        <f t="shared" si="7"/>
        <v>0</v>
      </c>
      <c r="U265" s="198"/>
      <c r="V265" s="198"/>
      <c r="W265" s="198">
        <f t="shared" si="8"/>
        <v>0</v>
      </c>
      <c r="X265" s="200"/>
    </row>
    <row r="266">
      <c r="A266" s="135"/>
      <c r="B266" s="135"/>
      <c r="C266" s="135"/>
      <c r="D266" s="195"/>
      <c r="E266" s="135" t="str">
        <f>IFERROR(VLOOKUP(C266,'Công T5'!$C$7:$F$89,4,0),"")</f>
        <v/>
      </c>
      <c r="F266" s="137" t="str">
        <f>IFERROR(__xludf.DUMMYFUNCTION("INDEX(FILTER('Công T5'!$B$8:$C$89,'Công T5'!$C$8:$C$89=C266),1,1)"),"")</f>
        <v/>
      </c>
      <c r="G266" s="138" t="str">
        <f>IFERROR(__xludf.DUMMYFUNCTION("IFERROR(INDEX(FILTER('Vân tay'!$A$5:$O270,'Vân tay'!$C$5:$C270=F266,'Vân tay'!$B$5:$B270=D266),1,10),"""")"),"")</f>
        <v/>
      </c>
      <c r="H266" s="138" t="str">
        <f>IFERROR(__xludf.DUMMYFUNCTION("IFERROR(INDEX(FILTER('Vân tay'!$A$5:$O270,'Vân tay'!$C$5:$C270=F266,'Vân tay'!$B$5:$B270=D266),1,11),"""")"),"")</f>
        <v/>
      </c>
      <c r="I266" s="138" t="str">
        <f>IFERROR(__xludf.DUMMYFUNCTION("IFERROR(INDEX(FILTER('Vân tay'!$A$5:$O270,'Vân tay'!$C$5:$C270=F266,'Vân tay'!$B$5:$B270=D266),1,14),"""")"),"")</f>
        <v/>
      </c>
      <c r="J266" s="138" t="str">
        <f>IFERROR(__xludf.DUMMYFUNCTION("IFERROR(INDEX(FILTER('Vân tay'!$A$5:$O270,'Vân tay'!$C$5:$C270=F266,'Vân tay'!$B$5:$B270=D266),1,15),"""")"),"")</f>
        <v/>
      </c>
      <c r="K266" s="196" t="str">
        <f t="shared" si="1"/>
        <v/>
      </c>
      <c r="L266" s="196" t="str">
        <f t="shared" si="2"/>
        <v/>
      </c>
      <c r="M266" s="197" t="str">
        <f t="shared" si="9"/>
        <v/>
      </c>
      <c r="N266" s="198" t="str">
        <f t="shared" si="3"/>
        <v/>
      </c>
      <c r="O266" s="198" t="str">
        <f t="shared" si="10"/>
        <v/>
      </c>
      <c r="P266" s="198"/>
      <c r="Q266" s="198">
        <f t="shared" si="4"/>
        <v>0</v>
      </c>
      <c r="R266" s="198">
        <f t="shared" si="5"/>
        <v>0</v>
      </c>
      <c r="S266" s="199">
        <f t="shared" si="6"/>
        <v>0</v>
      </c>
      <c r="T266" s="198">
        <f t="shared" si="7"/>
        <v>0</v>
      </c>
      <c r="U266" s="198"/>
      <c r="V266" s="198"/>
      <c r="W266" s="198">
        <f t="shared" si="8"/>
        <v>0</v>
      </c>
      <c r="X266" s="200"/>
    </row>
    <row r="267">
      <c r="A267" s="135"/>
      <c r="B267" s="135"/>
      <c r="C267" s="135"/>
      <c r="D267" s="195"/>
      <c r="E267" s="135" t="str">
        <f>IFERROR(VLOOKUP(C267,'Công T5'!$C$7:$F$89,4,0),"")</f>
        <v/>
      </c>
      <c r="F267" s="137" t="str">
        <f>IFERROR(__xludf.DUMMYFUNCTION("INDEX(FILTER('Công T5'!$B$8:$C$89,'Công T5'!$C$8:$C$89=C267),1,1)"),"")</f>
        <v/>
      </c>
      <c r="G267" s="138" t="str">
        <f>IFERROR(__xludf.DUMMYFUNCTION("IFERROR(INDEX(FILTER('Vân tay'!$A$5:$O270,'Vân tay'!$C$5:$C270=F267,'Vân tay'!$B$5:$B270=D267),1,10),"""")"),"")</f>
        <v/>
      </c>
      <c r="H267" s="138" t="str">
        <f>IFERROR(__xludf.DUMMYFUNCTION("IFERROR(INDEX(FILTER('Vân tay'!$A$5:$O270,'Vân tay'!$C$5:$C270=F267,'Vân tay'!$B$5:$B270=D267),1,11),"""")"),"")</f>
        <v/>
      </c>
      <c r="I267" s="138" t="str">
        <f>IFERROR(__xludf.DUMMYFUNCTION("IFERROR(INDEX(FILTER('Vân tay'!$A$5:$O270,'Vân tay'!$C$5:$C270=F267,'Vân tay'!$B$5:$B270=D267),1,14),"""")"),"")</f>
        <v/>
      </c>
      <c r="J267" s="138" t="str">
        <f>IFERROR(__xludf.DUMMYFUNCTION("IFERROR(INDEX(FILTER('Vân tay'!$A$5:$O270,'Vân tay'!$C$5:$C270=F267,'Vân tay'!$B$5:$B270=D267),1,15),"""")"),"")</f>
        <v/>
      </c>
      <c r="K267" s="196" t="str">
        <f t="shared" si="1"/>
        <v/>
      </c>
      <c r="L267" s="196" t="str">
        <f t="shared" si="2"/>
        <v/>
      </c>
      <c r="M267" s="197" t="str">
        <f t="shared" si="9"/>
        <v/>
      </c>
      <c r="N267" s="198" t="str">
        <f t="shared" si="3"/>
        <v/>
      </c>
      <c r="O267" s="198" t="str">
        <f t="shared" si="10"/>
        <v/>
      </c>
      <c r="P267" s="198"/>
      <c r="Q267" s="198">
        <f t="shared" si="4"/>
        <v>0</v>
      </c>
      <c r="R267" s="198">
        <f t="shared" si="5"/>
        <v>0</v>
      </c>
      <c r="S267" s="199">
        <f t="shared" si="6"/>
        <v>0</v>
      </c>
      <c r="T267" s="198">
        <f t="shared" si="7"/>
        <v>0</v>
      </c>
      <c r="U267" s="198"/>
      <c r="V267" s="198"/>
      <c r="W267" s="198">
        <f t="shared" si="8"/>
        <v>0</v>
      </c>
      <c r="X267" s="200"/>
    </row>
    <row r="268">
      <c r="A268" s="135"/>
      <c r="B268" s="135"/>
      <c r="C268" s="135"/>
      <c r="D268" s="195"/>
      <c r="E268" s="135" t="str">
        <f>IFERROR(VLOOKUP(C268,'Công T5'!$C$7:$F$89,4,0),"")</f>
        <v/>
      </c>
      <c r="F268" s="137" t="str">
        <f>IFERROR(__xludf.DUMMYFUNCTION("INDEX(FILTER('Công T5'!$B$8:$C$89,'Công T5'!$C$8:$C$89=C268),1,1)"),"")</f>
        <v/>
      </c>
      <c r="G268" s="138" t="str">
        <f>IFERROR(__xludf.DUMMYFUNCTION("IFERROR(INDEX(FILTER('Vân tay'!$A$5:$O270,'Vân tay'!$C$5:$C270=F268,'Vân tay'!$B$5:$B270=D268),1,10),"""")"),"")</f>
        <v/>
      </c>
      <c r="H268" s="138" t="str">
        <f>IFERROR(__xludf.DUMMYFUNCTION("IFERROR(INDEX(FILTER('Vân tay'!$A$5:$O270,'Vân tay'!$C$5:$C270=F268,'Vân tay'!$B$5:$B270=D268),1,11),"""")"),"")</f>
        <v/>
      </c>
      <c r="I268" s="138" t="str">
        <f>IFERROR(__xludf.DUMMYFUNCTION("IFERROR(INDEX(FILTER('Vân tay'!$A$5:$O270,'Vân tay'!$C$5:$C270=F268,'Vân tay'!$B$5:$B270=D268),1,14),"""")"),"")</f>
        <v/>
      </c>
      <c r="J268" s="138" t="str">
        <f>IFERROR(__xludf.DUMMYFUNCTION("IFERROR(INDEX(FILTER('Vân tay'!$A$5:$O270,'Vân tay'!$C$5:$C270=F268,'Vân tay'!$B$5:$B270=D268),1,15),"""")"),"")</f>
        <v/>
      </c>
      <c r="K268" s="196" t="str">
        <f t="shared" si="1"/>
        <v/>
      </c>
      <c r="L268" s="196" t="str">
        <f t="shared" si="2"/>
        <v/>
      </c>
      <c r="M268" s="197" t="str">
        <f t="shared" si="9"/>
        <v/>
      </c>
      <c r="N268" s="198" t="str">
        <f t="shared" si="3"/>
        <v/>
      </c>
      <c r="O268" s="198" t="str">
        <f t="shared" si="10"/>
        <v/>
      </c>
      <c r="P268" s="198"/>
      <c r="Q268" s="198">
        <f t="shared" si="4"/>
        <v>0</v>
      </c>
      <c r="R268" s="198">
        <f t="shared" si="5"/>
        <v>0</v>
      </c>
      <c r="S268" s="199">
        <f t="shared" si="6"/>
        <v>0</v>
      </c>
      <c r="T268" s="198">
        <f t="shared" si="7"/>
        <v>0</v>
      </c>
      <c r="U268" s="198"/>
      <c r="V268" s="198"/>
      <c r="W268" s="198">
        <f t="shared" si="8"/>
        <v>0</v>
      </c>
      <c r="X268" s="200"/>
    </row>
    <row r="269">
      <c r="A269" s="135"/>
      <c r="B269" s="135"/>
      <c r="C269" s="195"/>
      <c r="D269" s="195"/>
      <c r="E269" s="135" t="str">
        <f>IFERROR(VLOOKUP(C269,'Công T5'!$C$7:$F$89,4,0),"")</f>
        <v/>
      </c>
      <c r="F269" s="137" t="str">
        <f>IFERROR(__xludf.DUMMYFUNCTION("INDEX(FILTER('Công T5'!$B$8:$C$89,'Công T5'!$C$8:$C$89=C269),1,1)"),"")</f>
        <v/>
      </c>
      <c r="G269" s="138" t="str">
        <f>IFERROR(__xludf.DUMMYFUNCTION("IFERROR(INDEX(FILTER('Vân tay'!$A$5:$O270,'Vân tay'!$C$5:$C270=F269,'Vân tay'!$B$5:$B270=D269),1,10),"""")"),"")</f>
        <v/>
      </c>
      <c r="H269" s="138" t="str">
        <f>IFERROR(__xludf.DUMMYFUNCTION("IFERROR(INDEX(FILTER('Vân tay'!$A$5:$O270,'Vân tay'!$C$5:$C270=F269,'Vân tay'!$B$5:$B270=D269),1,11),"""")"),"")</f>
        <v/>
      </c>
      <c r="I269" s="138" t="str">
        <f>IFERROR(__xludf.DUMMYFUNCTION("IFERROR(INDEX(FILTER('Vân tay'!$A$5:$O270,'Vân tay'!$C$5:$C270=F269,'Vân tay'!$B$5:$B270=D269),1,14),"""")"),"")</f>
        <v/>
      </c>
      <c r="J269" s="138" t="str">
        <f>IFERROR(__xludf.DUMMYFUNCTION("IFERROR(INDEX(FILTER('Vân tay'!$A$5:$O270,'Vân tay'!$C$5:$C270=F269,'Vân tay'!$B$5:$B270=D269),1,15),"""")"),"")</f>
        <v/>
      </c>
      <c r="K269" s="196" t="str">
        <f t="shared" si="1"/>
        <v/>
      </c>
      <c r="L269" s="196" t="str">
        <f t="shared" si="2"/>
        <v/>
      </c>
      <c r="M269" s="197" t="str">
        <f t="shared" si="9"/>
        <v/>
      </c>
      <c r="N269" s="198" t="str">
        <f t="shared" si="3"/>
        <v/>
      </c>
      <c r="O269" s="198" t="str">
        <f t="shared" si="10"/>
        <v/>
      </c>
      <c r="P269" s="198"/>
      <c r="Q269" s="198">
        <f t="shared" si="4"/>
        <v>0</v>
      </c>
      <c r="R269" s="198">
        <f t="shared" si="5"/>
        <v>0</v>
      </c>
      <c r="S269" s="199">
        <f t="shared" si="6"/>
        <v>0</v>
      </c>
      <c r="T269" s="198">
        <f t="shared" si="7"/>
        <v>0</v>
      </c>
      <c r="U269" s="198"/>
      <c r="V269" s="198"/>
      <c r="W269" s="198">
        <f t="shared" si="8"/>
        <v>0</v>
      </c>
      <c r="X269" s="200"/>
    </row>
    <row r="270">
      <c r="A270" s="135"/>
      <c r="B270" s="135"/>
      <c r="C270" s="135"/>
      <c r="D270" s="195"/>
      <c r="E270" s="135" t="str">
        <f>IFERROR(VLOOKUP(C270,'Công T5'!$C$7:$F$89,4,0),"")</f>
        <v/>
      </c>
      <c r="F270" s="137" t="str">
        <f>IFERROR(__xludf.DUMMYFUNCTION("INDEX(FILTER('Công T5'!$B$8:$C$89,'Công T5'!$C$8:$C$89=C270),1,1)"),"")</f>
        <v/>
      </c>
      <c r="G270" s="138" t="str">
        <f>IFERROR(__xludf.DUMMYFUNCTION("IFERROR(INDEX(FILTER('Vân tay'!$A$5:$O270,'Vân tay'!$C$5:$C270=F270,'Vân tay'!$B$5:$B270=D270),1,10),"""")"),"")</f>
        <v/>
      </c>
      <c r="H270" s="138" t="str">
        <f>IFERROR(__xludf.DUMMYFUNCTION("IFERROR(INDEX(FILTER('Vân tay'!$A$5:$O270,'Vân tay'!$C$5:$C270=F270,'Vân tay'!$B$5:$B270=D270),1,11),"""")"),"")</f>
        <v/>
      </c>
      <c r="I270" s="138" t="str">
        <f>IFERROR(__xludf.DUMMYFUNCTION("IFERROR(INDEX(FILTER('Vân tay'!$A$5:$O270,'Vân tay'!$C$5:$C270=F270,'Vân tay'!$B$5:$B270=D270),1,14),"""")"),"")</f>
        <v/>
      </c>
      <c r="J270" s="138" t="str">
        <f>IFERROR(__xludf.DUMMYFUNCTION("IFERROR(INDEX(FILTER('Vân tay'!$A$5:$O270,'Vân tay'!$C$5:$C270=F270,'Vân tay'!$B$5:$B270=D270),1,15),"""")"),"")</f>
        <v/>
      </c>
      <c r="K270" s="196" t="str">
        <f t="shared" si="1"/>
        <v/>
      </c>
      <c r="L270" s="196" t="str">
        <f t="shared" si="2"/>
        <v/>
      </c>
      <c r="M270" s="197" t="str">
        <f t="shared" si="9"/>
        <v/>
      </c>
      <c r="N270" s="198" t="str">
        <f t="shared" si="3"/>
        <v/>
      </c>
      <c r="O270" s="198" t="str">
        <f t="shared" si="10"/>
        <v/>
      </c>
      <c r="P270" s="198"/>
      <c r="Q270" s="198">
        <f t="shared" si="4"/>
        <v>0</v>
      </c>
      <c r="R270" s="198">
        <f t="shared" si="5"/>
        <v>0</v>
      </c>
      <c r="S270" s="199">
        <f t="shared" si="6"/>
        <v>0</v>
      </c>
      <c r="T270" s="198">
        <f t="shared" si="7"/>
        <v>0</v>
      </c>
      <c r="U270" s="198"/>
      <c r="V270" s="198"/>
      <c r="W270" s="198">
        <f t="shared" si="8"/>
        <v>0</v>
      </c>
      <c r="X270" s="200"/>
    </row>
  </sheetData>
  <autoFilter ref="$A$5:$X$270">
    <sortState ref="A5:X270">
      <sortCondition ref="A5:A270"/>
      <sortCondition ref="E5:E270"/>
      <sortCondition ref="C5:C270"/>
      <sortCondition ref="D5:D270"/>
      <sortCondition ref="O5:O270"/>
    </sortState>
  </autoFilter>
  <mergeCells count="1">
    <mergeCell ref="C3:X3"/>
  </mergeCells>
  <conditionalFormatting sqref="A6:X270">
    <cfRule type="expression" dxfId="7" priority="1">
      <formula>and(weekday($D6)=7, $D6&lt;&gt;$E$1, $D6&lt;&gt;$F$1, $D6&lt;&gt;$G$1)</formula>
    </cfRule>
  </conditionalFormatting>
  <conditionalFormatting sqref="A6:X270">
    <cfRule type="expression" dxfId="8" priority="2">
      <formula>weekday($D6)=1</formula>
    </cfRule>
  </conditionalFormatting>
  <conditionalFormatting sqref="A6:X270">
    <cfRule type="expression" dxfId="9" priority="3">
      <formula>$M6="CT"</formula>
    </cfRule>
  </conditionalFormatting>
  <drawing r:id="rId1"/>
</worksheet>
</file>